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kka-O\Dropbox\OH1TV\Tekniikkaa pohtien\"/>
    </mc:Choice>
  </mc:AlternateContent>
  <bookViews>
    <workbookView xWindow="1335" yWindow="2295" windowWidth="11340" windowHeight="9345"/>
  </bookViews>
  <sheets>
    <sheet name="Components" sheetId="1" r:id="rId1"/>
    <sheet name="Ohms law" sheetId="6" r:id="rId2"/>
    <sheet name="Ratios and dB" sheetId="7" r:id="rId3"/>
    <sheet name="Antennas" sheetId="5" r:id="rId4"/>
    <sheet name="Amidon" sheetId="8" r:id="rId5"/>
    <sheet name="Amidon 2" sheetId="9" r:id="rId6"/>
    <sheet name="Attenuators" sheetId="4" r:id="rId7"/>
  </sheets>
  <calcPr calcId="152511"/>
</workbook>
</file>

<file path=xl/calcChain.xml><?xml version="1.0" encoding="utf-8"?>
<calcChain xmlns="http://schemas.openxmlformats.org/spreadsheetml/2006/main">
  <c r="G14" i="7" l="1"/>
  <c r="H14" i="7" s="1"/>
  <c r="G13" i="7"/>
  <c r="H13" i="7" s="1"/>
  <c r="G12" i="7"/>
  <c r="H12" i="7" s="1"/>
  <c r="D87" i="9" l="1"/>
  <c r="H85" i="9"/>
  <c r="I96" i="9"/>
  <c r="D100" i="9"/>
  <c r="D54" i="9"/>
  <c r="H52" i="9"/>
  <c r="D66" i="9"/>
  <c r="H64" i="9"/>
  <c r="D60" i="9"/>
  <c r="H58" i="9"/>
  <c r="C33" i="8"/>
  <c r="C34" i="8"/>
  <c r="C32" i="8"/>
  <c r="D29" i="1"/>
  <c r="D30" i="1"/>
  <c r="D28" i="1"/>
  <c r="M11" i="1"/>
  <c r="M12" i="1"/>
  <c r="M10" i="1"/>
  <c r="H24" i="5"/>
  <c r="H25" i="5"/>
  <c r="H23" i="5"/>
  <c r="K23" i="6"/>
  <c r="J23" i="6"/>
  <c r="K22" i="6"/>
  <c r="J22" i="6"/>
  <c r="K21" i="6"/>
  <c r="J21" i="6"/>
  <c r="K17" i="6"/>
  <c r="J17" i="6"/>
  <c r="K16" i="6"/>
  <c r="J16" i="6"/>
  <c r="K15" i="6"/>
  <c r="J15" i="6"/>
  <c r="K11" i="6"/>
  <c r="J11" i="6"/>
  <c r="K10" i="6"/>
  <c r="J10" i="6"/>
  <c r="K9" i="6"/>
  <c r="J9" i="6"/>
  <c r="C30" i="7"/>
  <c r="D30" i="7" s="1"/>
  <c r="H91" i="9"/>
  <c r="H78" i="9"/>
  <c r="H71" i="9"/>
  <c r="H46" i="9"/>
  <c r="H40" i="9"/>
  <c r="H34" i="9"/>
  <c r="H28" i="9"/>
  <c r="H21" i="9"/>
  <c r="H15" i="9"/>
  <c r="H8" i="9"/>
  <c r="D93" i="9"/>
  <c r="D80" i="9"/>
  <c r="D73" i="9"/>
  <c r="D48" i="9"/>
  <c r="D42" i="9"/>
  <c r="D36" i="9"/>
  <c r="D30" i="9"/>
  <c r="D23" i="9"/>
  <c r="D17" i="9"/>
  <c r="D10" i="9"/>
  <c r="K27" i="8"/>
  <c r="K26" i="8"/>
  <c r="K25" i="8"/>
  <c r="K19" i="8"/>
  <c r="K18" i="8"/>
  <c r="K17" i="8"/>
  <c r="K11" i="8"/>
  <c r="K10" i="8"/>
  <c r="K9" i="8"/>
  <c r="G27" i="8"/>
  <c r="G26" i="8"/>
  <c r="G25" i="8"/>
  <c r="G19" i="8"/>
  <c r="G18" i="8"/>
  <c r="G17" i="8"/>
  <c r="G11" i="8"/>
  <c r="G10" i="8"/>
  <c r="G9" i="8"/>
  <c r="C26" i="8"/>
  <c r="C27" i="8"/>
  <c r="C25" i="8"/>
  <c r="C18" i="8"/>
  <c r="C19" i="8"/>
  <c r="C17" i="8"/>
  <c r="C10" i="8"/>
  <c r="C11" i="8"/>
  <c r="C9" i="8"/>
  <c r="D24" i="5"/>
  <c r="D25" i="5"/>
  <c r="D23" i="5"/>
  <c r="C29" i="7"/>
  <c r="D29" i="7"/>
  <c r="D23" i="7"/>
  <c r="E23" i="7"/>
  <c r="C23" i="7"/>
  <c r="C28" i="7"/>
  <c r="D28" i="7" s="1"/>
  <c r="D22" i="7"/>
  <c r="E22" i="7" s="1"/>
  <c r="C22" i="7"/>
  <c r="C27" i="7"/>
  <c r="D27" i="7"/>
  <c r="D21" i="7"/>
  <c r="E21" i="7" s="1"/>
  <c r="C21" i="7"/>
  <c r="G11" i="7"/>
  <c r="H11" i="7" s="1"/>
  <c r="C11" i="7"/>
  <c r="G10" i="7"/>
  <c r="H10" i="7"/>
  <c r="C10" i="7"/>
  <c r="G9" i="7"/>
  <c r="H9" i="7" s="1"/>
  <c r="C9" i="7"/>
  <c r="D17" i="7"/>
  <c r="C17" i="7"/>
  <c r="D16" i="7"/>
  <c r="C16" i="7"/>
  <c r="D15" i="7"/>
  <c r="C15" i="7"/>
  <c r="E22" i="6"/>
  <c r="E23" i="6"/>
  <c r="E21" i="6"/>
  <c r="D22" i="6"/>
  <c r="D23" i="6"/>
  <c r="D21" i="6"/>
  <c r="E16" i="6"/>
  <c r="E17" i="6"/>
  <c r="E15" i="6"/>
  <c r="D17" i="6"/>
  <c r="D16" i="6"/>
  <c r="D15" i="6"/>
  <c r="E10" i="6"/>
  <c r="E11" i="6"/>
  <c r="E9" i="6"/>
  <c r="D10" i="6"/>
  <c r="D11" i="6"/>
  <c r="D9" i="6"/>
  <c r="C17" i="5"/>
  <c r="D17" i="5"/>
  <c r="E17" i="5" s="1"/>
  <c r="C18" i="5"/>
  <c r="D18" i="5" s="1"/>
  <c r="E18" i="5" s="1"/>
  <c r="C16" i="5"/>
  <c r="D16" i="5"/>
  <c r="E16" i="5" s="1"/>
  <c r="H11" i="5"/>
  <c r="I11" i="5" s="1"/>
  <c r="D11" i="5"/>
  <c r="E11" i="5" s="1"/>
  <c r="H10" i="5"/>
  <c r="I10" i="5" s="1"/>
  <c r="D10" i="5"/>
  <c r="E10" i="5" s="1"/>
  <c r="H9" i="5"/>
  <c r="I9" i="5" s="1"/>
  <c r="D9" i="5"/>
  <c r="E9" i="5" s="1"/>
  <c r="H23" i="1"/>
  <c r="H24" i="1"/>
  <c r="H22" i="1"/>
  <c r="D23" i="1"/>
  <c r="D24" i="1"/>
  <c r="D22" i="1"/>
  <c r="H29" i="1"/>
  <c r="H30" i="1"/>
  <c r="H28" i="1"/>
  <c r="D36" i="1"/>
  <c r="E36" i="1"/>
  <c r="H18" i="1"/>
  <c r="H12" i="1"/>
  <c r="D18" i="1"/>
  <c r="D12" i="1"/>
  <c r="H17" i="1"/>
  <c r="H11" i="1"/>
  <c r="D17" i="1"/>
  <c r="D11" i="1"/>
  <c r="E35" i="1"/>
  <c r="D35" i="1"/>
  <c r="E34" i="1"/>
  <c r="D34" i="1"/>
  <c r="H16" i="1"/>
  <c r="H10" i="1"/>
  <c r="D16" i="1"/>
  <c r="D10" i="1"/>
</calcChain>
</file>

<file path=xl/sharedStrings.xml><?xml version="1.0" encoding="utf-8"?>
<sst xmlns="http://schemas.openxmlformats.org/spreadsheetml/2006/main" count="483" uniqueCount="178">
  <si>
    <t>C /pf</t>
  </si>
  <si>
    <t>f/MHz</t>
  </si>
  <si>
    <t>L/uH</t>
  </si>
  <si>
    <t>C/pF</t>
  </si>
  <si>
    <t>dB</t>
  </si>
  <si>
    <t>kHz</t>
  </si>
  <si>
    <t>pF</t>
  </si>
  <si>
    <t>uH</t>
  </si>
  <si>
    <t>ohm</t>
  </si>
  <si>
    <t>OH1TV</t>
  </si>
  <si>
    <t>Capacitance to reactance</t>
  </si>
  <si>
    <t>Inductance to reactance</t>
  </si>
  <si>
    <t>Ham Calculator</t>
  </si>
  <si>
    <t>goal</t>
  </si>
  <si>
    <t>part1</t>
  </si>
  <si>
    <t>part2</t>
  </si>
  <si>
    <t>total</t>
  </si>
  <si>
    <t>Give value</t>
  </si>
  <si>
    <t>Read value</t>
  </si>
  <si>
    <t>Power ratio</t>
  </si>
  <si>
    <t>Voltage ratio</t>
  </si>
  <si>
    <t>Pii attenuator, 50 ohm system</t>
  </si>
  <si>
    <t>Attenuation</t>
  </si>
  <si>
    <t>serial</t>
  </si>
  <si>
    <t>Reactance to capacitance and inductance</t>
  </si>
  <si>
    <t>X/ohm</t>
  </si>
  <si>
    <t>T attenuator, 50 ohm system</t>
  </si>
  <si>
    <t>serials</t>
  </si>
  <si>
    <t>shunt</t>
  </si>
  <si>
    <t xml:space="preserve">        </t>
  </si>
  <si>
    <t>Vrms</t>
  </si>
  <si>
    <t>Vpp</t>
  </si>
  <si>
    <t>dBm</t>
  </si>
  <si>
    <t>W</t>
  </si>
  <si>
    <t>C/nF</t>
  </si>
  <si>
    <t>f/Hz</t>
  </si>
  <si>
    <t>Power ratio to dB</t>
  </si>
  <si>
    <t>Voltage ratio to dB</t>
  </si>
  <si>
    <t>LC resonance frequency</t>
  </si>
  <si>
    <t>S-unit</t>
  </si>
  <si>
    <t>uV</t>
  </si>
  <si>
    <t>S-units to dBm and uV / 50ohm</t>
  </si>
  <si>
    <t>Power level from dBm to W and V / 50ohm</t>
  </si>
  <si>
    <t>3 calculation lines are equal in each box</t>
  </si>
  <si>
    <t>power ratio</t>
  </si>
  <si>
    <t>Horizontal antenna take-off angle</t>
  </si>
  <si>
    <t>height/m</t>
  </si>
  <si>
    <t>TOA/deg</t>
  </si>
  <si>
    <t>height / λ</t>
  </si>
  <si>
    <t>voltage ratio</t>
  </si>
  <si>
    <t>refl point/λ</t>
  </si>
  <si>
    <t>λ / m</t>
  </si>
  <si>
    <t>λ/2 / m</t>
  </si>
  <si>
    <t>f / kHz</t>
  </si>
  <si>
    <t>R or L in parallel</t>
  </si>
  <si>
    <t>Capacitors in series</t>
  </si>
  <si>
    <t>Seeking parallel R, L</t>
  </si>
  <si>
    <t>Seeking serial capacitor</t>
  </si>
  <si>
    <t>refl point/m</t>
  </si>
  <si>
    <t>Horizontal antenna take-off angle and refl point</t>
  </si>
  <si>
    <t>dipole/m</t>
  </si>
  <si>
    <r>
      <t xml:space="preserve">Wavelength,  </t>
    </r>
    <r>
      <rPr>
        <b/>
        <sz val="10"/>
        <color indexed="9"/>
        <rFont val="Arial"/>
        <family val="2"/>
      </rPr>
      <t>λ</t>
    </r>
    <r>
      <rPr>
        <b/>
        <sz val="10"/>
        <color indexed="9"/>
        <rFont val="Arial"/>
        <family val="2"/>
      </rPr>
      <t>/2-dipole</t>
    </r>
  </si>
  <si>
    <t>U/volt</t>
  </si>
  <si>
    <t>I/amp</t>
  </si>
  <si>
    <t>R/ohm</t>
  </si>
  <si>
    <t>R = U / I             P = U x I</t>
  </si>
  <si>
    <t>P/watt</t>
  </si>
  <si>
    <t>I = U / R             P = U^2 / R</t>
  </si>
  <si>
    <t>U = I x R             P = I^2 x R</t>
  </si>
  <si>
    <t>I = P / U             R = U^2 / P</t>
  </si>
  <si>
    <t>U = P / I             R = P / I^2</t>
  </si>
  <si>
    <t>U = squareroot( P * R )        I = squareroot( P / R )</t>
  </si>
  <si>
    <t>Ohms Law</t>
  </si>
  <si>
    <t>Antenna related calculations</t>
  </si>
  <si>
    <t>Ratios and dB</t>
  </si>
  <si>
    <t>Components</t>
  </si>
  <si>
    <t>Attenuators for 50 ohm</t>
  </si>
  <si>
    <t>Each calculation box is independent.</t>
  </si>
  <si>
    <t>Formulas are in the yellow columns</t>
  </si>
  <si>
    <t>SWR</t>
  </si>
  <si>
    <t>Forward</t>
  </si>
  <si>
    <t>Reflected</t>
  </si>
  <si>
    <t>SWR from directional voltages</t>
  </si>
  <si>
    <t>U=voltage</t>
  </si>
  <si>
    <t>I=current</t>
  </si>
  <si>
    <t>R=resistance</t>
  </si>
  <si>
    <t>P=power</t>
  </si>
  <si>
    <t>AL =</t>
  </si>
  <si>
    <t>uH/100 turns</t>
  </si>
  <si>
    <t>Amidon iron powder toroids</t>
  </si>
  <si>
    <t>Turns N</t>
  </si>
  <si>
    <t>Inductance/uH</t>
  </si>
  <si>
    <t>T37- 2 red</t>
  </si>
  <si>
    <t>T50- 2 red</t>
  </si>
  <si>
    <t>T106- 2 red</t>
  </si>
  <si>
    <t>T37- 6 yellow</t>
  </si>
  <si>
    <t>T50- 6 yellow</t>
  </si>
  <si>
    <t>T106- 6 yellow</t>
  </si>
  <si>
    <t>u=4</t>
  </si>
  <si>
    <t>u=10</t>
  </si>
  <si>
    <t>u=8</t>
  </si>
  <si>
    <t>T37- 17 blue-yellow</t>
  </si>
  <si>
    <t>T50- 17 blue-yellow</t>
  </si>
  <si>
    <t>T68- 17 blue-yellow</t>
  </si>
  <si>
    <t>What size of IRON POWDER core</t>
  </si>
  <si>
    <t>E= applied RMS voltage</t>
  </si>
  <si>
    <t>V</t>
  </si>
  <si>
    <t>Number of turns needed:</t>
  </si>
  <si>
    <t>T-37-2</t>
  </si>
  <si>
    <t>Ae=cross section area cm^2</t>
  </si>
  <si>
    <t>Al value</t>
  </si>
  <si>
    <t>uH/100turns</t>
  </si>
  <si>
    <t>from Amidon data sheet</t>
  </si>
  <si>
    <t>N=number of wire turns</t>
  </si>
  <si>
    <t>&lt;</t>
  </si>
  <si>
    <t>uH needed</t>
  </si>
  <si>
    <t>turns</t>
  </si>
  <si>
    <t>F= frequency MHz</t>
  </si>
  <si>
    <t>MHz</t>
  </si>
  <si>
    <t>B=Flux density</t>
  </si>
  <si>
    <t>Gauss</t>
  </si>
  <si>
    <t>Max flux density:</t>
  </si>
  <si>
    <t>F / MHz</t>
  </si>
  <si>
    <t>B / Gauss</t>
  </si>
  <si>
    <t>T-44-2</t>
  </si>
  <si>
    <t>T-50-2</t>
  </si>
  <si>
    <t>T-94-2</t>
  </si>
  <si>
    <t>T-106-2</t>
  </si>
  <si>
    <t>T-130-2</t>
  </si>
  <si>
    <t>T-157-2</t>
  </si>
  <si>
    <t>Compare to max flux</t>
  </si>
  <si>
    <t>T-37-6</t>
  </si>
  <si>
    <t>T-50-6</t>
  </si>
  <si>
    <t>T-106-6</t>
  </si>
  <si>
    <t>parallells</t>
  </si>
  <si>
    <t>Shall be less than max limit</t>
  </si>
  <si>
    <t>space for max 32 turns  0.3mm wire, abt 4uH</t>
  </si>
  <si>
    <t>space for max 45 turns  0.4mm wire, abt 10uH</t>
  </si>
  <si>
    <t>space for max 45 turns  0.4mm wire, abt 8uH</t>
  </si>
  <si>
    <t>space for max 32 turns  0.3mm wire, abt 3uH</t>
  </si>
  <si>
    <t>dB over S9</t>
  </si>
  <si>
    <t>dB to power ratio and voltage ratio</t>
  </si>
  <si>
    <t>R, L</t>
  </si>
  <si>
    <t>C</t>
  </si>
  <si>
    <t>LC</t>
  </si>
  <si>
    <t>RC</t>
  </si>
  <si>
    <t>Z</t>
  </si>
  <si>
    <t>RC low and high pass filter -3dB</t>
  </si>
  <si>
    <t>C1</t>
  </si>
  <si>
    <t>C2</t>
  </si>
  <si>
    <t>R/kohm</t>
  </si>
  <si>
    <t>multiplier</t>
  </si>
  <si>
    <t>Power ratio from SWR</t>
  </si>
  <si>
    <t xml:space="preserve">Space for 45 turns 0.4mm wire </t>
  </si>
  <si>
    <t>Space for 32 turns 0.3mm wire</t>
  </si>
  <si>
    <t>LC serial impedance</t>
  </si>
  <si>
    <t>v1.1</t>
  </si>
  <si>
    <t>jX/ohm</t>
  </si>
  <si>
    <t>jXc/ohm</t>
  </si>
  <si>
    <t>jXL/ohm</t>
  </si>
  <si>
    <t>T300A - 2 red</t>
  </si>
  <si>
    <t>T-300A-2</t>
  </si>
  <si>
    <t>T-400A-2</t>
  </si>
  <si>
    <t>T-200A-2</t>
  </si>
  <si>
    <t>FB-43-1020</t>
  </si>
  <si>
    <t>Ae=0.65x2.85</t>
  </si>
  <si>
    <t>T-94-6</t>
  </si>
  <si>
    <t>The 6 calculation lines are equal in each box</t>
  </si>
  <si>
    <t>mahtuu max 44k EJ0.3 = 10uH</t>
  </si>
  <si>
    <t>Give number of turns, get inductance</t>
  </si>
  <si>
    <t>Flux density is the limiting factor</t>
  </si>
  <si>
    <t>Calculate flux density and compare to max allowed</t>
  </si>
  <si>
    <t xml:space="preserve"> Inductance depends on frequency</t>
  </si>
  <si>
    <t xml:space="preserve"> This is a ferrite.</t>
  </si>
  <si>
    <t xml:space="preserve"> iron powder cores.</t>
  </si>
  <si>
    <t xml:space="preserve"> Flux calculation is the same as with</t>
  </si>
  <si>
    <t>Reflected power / forward power</t>
  </si>
  <si>
    <t>Reflected and forward voltages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</si>
</sst>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"/>
    <numFmt numFmtId="167" formatCode="#,##0.00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b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0" xfId="0" applyFill="1"/>
    <xf numFmtId="166" fontId="1" fillId="2" borderId="0" xfId="0" applyNumberFormat="1" applyFont="1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2" fontId="0" fillId="3" borderId="0" xfId="0" applyNumberFormat="1" applyFill="1"/>
    <xf numFmtId="165" fontId="0" fillId="3" borderId="0" xfId="0" applyNumberFormat="1" applyFill="1"/>
    <xf numFmtId="0" fontId="0" fillId="5" borderId="0" xfId="0" applyFill="1"/>
    <xf numFmtId="0" fontId="4" fillId="5" borderId="0" xfId="0" applyFont="1" applyFill="1"/>
    <xf numFmtId="166" fontId="1" fillId="5" borderId="0" xfId="0" applyNumberFormat="1" applyFont="1" applyFill="1"/>
    <xf numFmtId="0" fontId="4" fillId="2" borderId="0" xfId="0" applyFont="1" applyFill="1"/>
    <xf numFmtId="0" fontId="5" fillId="6" borderId="0" xfId="0" applyFont="1" applyFill="1"/>
    <xf numFmtId="0" fontId="6" fillId="6" borderId="0" xfId="0" applyFont="1" applyFill="1"/>
    <xf numFmtId="0" fontId="0" fillId="3" borderId="0" xfId="0" applyFill="1" applyAlignment="1">
      <alignment horizontal="right"/>
    </xf>
    <xf numFmtId="165" fontId="3" fillId="3" borderId="0" xfId="0" applyNumberFormat="1" applyFont="1" applyFill="1"/>
    <xf numFmtId="0" fontId="4" fillId="5" borderId="0" xfId="0" applyFont="1" applyFill="1" applyAlignment="1">
      <alignment horizontal="center"/>
    </xf>
    <xf numFmtId="0" fontId="5" fillId="5" borderId="0" xfId="0" applyFont="1" applyFill="1"/>
    <xf numFmtId="0" fontId="7" fillId="5" borderId="0" xfId="0" applyFont="1" applyFill="1"/>
    <xf numFmtId="164" fontId="1" fillId="3" borderId="0" xfId="0" applyNumberFormat="1" applyFont="1" applyFill="1" applyAlignment="1">
      <alignment horizontal="center"/>
    </xf>
    <xf numFmtId="0" fontId="3" fillId="4" borderId="0" xfId="0" applyFont="1" applyFill="1"/>
    <xf numFmtId="165" fontId="1" fillId="3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6" fontId="0" fillId="3" borderId="0" xfId="0" applyNumberFormat="1" applyFill="1"/>
    <xf numFmtId="2" fontId="1" fillId="3" borderId="0" xfId="0" applyNumberFormat="1" applyFont="1" applyFill="1" applyAlignment="1">
      <alignment horizontal="right"/>
    </xf>
    <xf numFmtId="166" fontId="3" fillId="3" borderId="0" xfId="0" applyNumberFormat="1" applyFont="1" applyFill="1"/>
    <xf numFmtId="0" fontId="8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 applyAlignment="1"/>
    <xf numFmtId="2" fontId="3" fillId="3" borderId="0" xfId="0" applyNumberFormat="1" applyFont="1" applyFill="1"/>
    <xf numFmtId="0" fontId="1" fillId="4" borderId="0" xfId="0" applyFont="1" applyFill="1" applyBorder="1" applyAlignment="1">
      <alignment horizontal="right"/>
    </xf>
    <xf numFmtId="0" fontId="3" fillId="4" borderId="0" xfId="0" applyFont="1" applyFill="1" applyBorder="1"/>
    <xf numFmtId="2" fontId="3" fillId="3" borderId="0" xfId="0" applyNumberFormat="1" applyFont="1" applyFill="1" applyBorder="1"/>
    <xf numFmtId="0" fontId="9" fillId="3" borderId="0" xfId="0" applyFont="1" applyFill="1" applyAlignment="1">
      <alignment horizontal="right"/>
    </xf>
    <xf numFmtId="165" fontId="3" fillId="3" borderId="0" xfId="0" applyNumberFormat="1" applyFont="1" applyFill="1" applyBorder="1"/>
    <xf numFmtId="0" fontId="0" fillId="6" borderId="0" xfId="0" applyFill="1"/>
    <xf numFmtId="0" fontId="7" fillId="6" borderId="0" xfId="0" applyFont="1" applyFill="1"/>
    <xf numFmtId="0" fontId="10" fillId="6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0" fillId="2" borderId="0" xfId="0" applyNumberFormat="1" applyFill="1"/>
    <xf numFmtId="166" fontId="0" fillId="2" borderId="0" xfId="0" applyNumberFormat="1" applyFill="1"/>
    <xf numFmtId="0" fontId="3" fillId="2" borderId="0" xfId="0" applyFont="1" applyFill="1" applyAlignment="1">
      <alignment horizontal="left"/>
    </xf>
    <xf numFmtId="0" fontId="4" fillId="6" borderId="0" xfId="0" applyFont="1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2" borderId="0" xfId="0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4" fillId="5" borderId="0" xfId="0" applyFont="1" applyFill="1" applyBorder="1"/>
    <xf numFmtId="0" fontId="7" fillId="5" borderId="0" xfId="0" applyFont="1" applyFill="1" applyBorder="1"/>
    <xf numFmtId="0" fontId="0" fillId="4" borderId="0" xfId="0" applyFill="1" applyBorder="1" applyAlignment="1">
      <alignment horizontal="center"/>
    </xf>
    <xf numFmtId="0" fontId="0" fillId="7" borderId="0" xfId="0" applyFill="1" applyBorder="1"/>
    <xf numFmtId="0" fontId="0" fillId="8" borderId="0" xfId="0" applyFill="1" applyBorder="1"/>
    <xf numFmtId="0" fontId="0" fillId="9" borderId="0" xfId="0" applyFill="1" applyBorder="1" applyAlignment="1">
      <alignment horizontal="center"/>
    </xf>
    <xf numFmtId="0" fontId="0" fillId="9" borderId="0" xfId="0" applyFill="1" applyBorder="1"/>
    <xf numFmtId="0" fontId="0" fillId="10" borderId="0" xfId="0" applyFill="1" applyBorder="1"/>
    <xf numFmtId="0" fontId="3" fillId="2" borderId="0" xfId="0" applyFont="1" applyFill="1"/>
    <xf numFmtId="0" fontId="12" fillId="2" borderId="0" xfId="0" applyFont="1" applyFill="1"/>
    <xf numFmtId="0" fontId="12" fillId="9" borderId="0" xfId="0" applyFont="1" applyFill="1" applyBorder="1"/>
    <xf numFmtId="0" fontId="12" fillId="9" borderId="1" xfId="0" applyFont="1" applyFill="1" applyBorder="1"/>
    <xf numFmtId="0" fontId="0" fillId="9" borderId="2" xfId="0" applyFill="1" applyBorder="1" applyAlignment="1">
      <alignment horizontal="left"/>
    </xf>
    <xf numFmtId="0" fontId="0" fillId="9" borderId="3" xfId="0" applyFill="1" applyBorder="1"/>
    <xf numFmtId="0" fontId="0" fillId="4" borderId="3" xfId="0" applyFill="1" applyBorder="1"/>
    <xf numFmtId="0" fontId="0" fillId="4" borderId="0" xfId="0" applyFill="1" applyBorder="1"/>
    <xf numFmtId="166" fontId="1" fillId="11" borderId="3" xfId="0" applyNumberFormat="1" applyFont="1" applyFill="1" applyBorder="1"/>
    <xf numFmtId="166" fontId="0" fillId="11" borderId="3" xfId="0" applyNumberFormat="1" applyFill="1" applyBorder="1"/>
    <xf numFmtId="166" fontId="1" fillId="11" borderId="0" xfId="0" applyNumberFormat="1" applyFont="1" applyFill="1" applyBorder="1"/>
    <xf numFmtId="166" fontId="1" fillId="9" borderId="0" xfId="0" applyNumberFormat="1" applyFont="1" applyFill="1" applyBorder="1"/>
    <xf numFmtId="167" fontId="3" fillId="3" borderId="0" xfId="0" applyNumberFormat="1" applyFont="1" applyFill="1" applyAlignment="1">
      <alignment horizontal="right"/>
    </xf>
    <xf numFmtId="167" fontId="0" fillId="3" borderId="0" xfId="0" applyNumberFormat="1" applyFill="1"/>
    <xf numFmtId="0" fontId="0" fillId="9" borderId="0" xfId="0" applyFill="1" applyAlignment="1">
      <alignment horizontal="right"/>
    </xf>
    <xf numFmtId="0" fontId="1" fillId="9" borderId="0" xfId="0" applyFont="1" applyFill="1" applyAlignment="1">
      <alignment horizontal="right"/>
    </xf>
    <xf numFmtId="0" fontId="3" fillId="9" borderId="0" xfId="0" applyFont="1" applyFill="1" applyAlignment="1">
      <alignment horizontal="right"/>
    </xf>
    <xf numFmtId="0" fontId="0" fillId="9" borderId="0" xfId="0" applyFill="1"/>
    <xf numFmtId="164" fontId="0" fillId="3" borderId="0" xfId="0" applyNumberFormat="1" applyFill="1"/>
    <xf numFmtId="0" fontId="13" fillId="4" borderId="4" xfId="0" applyFont="1" applyFill="1" applyBorder="1"/>
    <xf numFmtId="0" fontId="13" fillId="3" borderId="4" xfId="0" applyFont="1" applyFill="1" applyBorder="1"/>
    <xf numFmtId="166" fontId="13" fillId="3" borderId="4" xfId="0" applyNumberFormat="1" applyFont="1" applyFill="1" applyBorder="1"/>
    <xf numFmtId="0" fontId="13" fillId="2" borderId="4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0" fillId="9" borderId="1" xfId="0" applyFill="1" applyBorder="1"/>
    <xf numFmtId="0" fontId="1" fillId="7" borderId="0" xfId="0" applyFont="1" applyFill="1" applyBorder="1"/>
    <xf numFmtId="0" fontId="0" fillId="7" borderId="3" xfId="0" applyFill="1" applyBorder="1"/>
    <xf numFmtId="0" fontId="4" fillId="10" borderId="0" xfId="0" applyFont="1" applyFill="1" applyBorder="1"/>
    <xf numFmtId="0" fontId="0" fillId="10" borderId="3" xfId="0" applyFill="1" applyBorder="1"/>
    <xf numFmtId="0" fontId="0" fillId="10" borderId="0" xfId="0" applyFill="1" applyBorder="1" applyAlignment="1">
      <alignment horizontal="center"/>
    </xf>
    <xf numFmtId="0" fontId="5" fillId="10" borderId="0" xfId="0" applyFont="1" applyFill="1" applyBorder="1"/>
    <xf numFmtId="0" fontId="4" fillId="7" borderId="0" xfId="0" applyFont="1" applyFill="1" applyBorder="1"/>
    <xf numFmtId="0" fontId="3" fillId="7" borderId="0" xfId="0" applyFont="1" applyFill="1" applyBorder="1"/>
    <xf numFmtId="0" fontId="4" fillId="8" borderId="0" xfId="0" applyFont="1" applyFill="1" applyBorder="1"/>
    <xf numFmtId="0" fontId="5" fillId="8" borderId="0" xfId="0" applyFont="1" applyFill="1" applyBorder="1"/>
    <xf numFmtId="0" fontId="14" fillId="2" borderId="0" xfId="0" applyFont="1" applyFill="1"/>
    <xf numFmtId="0" fontId="5" fillId="12" borderId="0" xfId="0" applyFont="1" applyFill="1"/>
    <xf numFmtId="0" fontId="6" fillId="12" borderId="0" xfId="0" applyFont="1" applyFill="1"/>
    <xf numFmtId="0" fontId="8" fillId="12" borderId="0" xfId="0" applyFont="1" applyFill="1" applyAlignment="1">
      <alignment horizontal="center"/>
    </xf>
    <xf numFmtId="14" fontId="0" fillId="13" borderId="0" xfId="0" applyNumberFormat="1" applyFill="1"/>
    <xf numFmtId="0" fontId="0" fillId="13" borderId="0" xfId="0" applyFill="1"/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0" fontId="3" fillId="13" borderId="0" xfId="0" applyFont="1" applyFill="1"/>
    <xf numFmtId="0" fontId="11" fillId="14" borderId="0" xfId="0" applyFont="1" applyFill="1"/>
    <xf numFmtId="0" fontId="0" fillId="14" borderId="0" xfId="0" applyFill="1"/>
    <xf numFmtId="0" fontId="3" fillId="14" borderId="0" xfId="0" applyFont="1" applyFill="1"/>
    <xf numFmtId="0" fontId="0" fillId="14" borderId="0" xfId="0" applyFill="1" applyBorder="1"/>
    <xf numFmtId="0" fontId="15" fillId="14" borderId="0" xfId="0" applyFont="1" applyFill="1" applyBorder="1"/>
    <xf numFmtId="0" fontId="0" fillId="15" borderId="3" xfId="0" applyFill="1" applyBorder="1"/>
    <xf numFmtId="166" fontId="0" fillId="15" borderId="3" xfId="0" applyNumberForma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21</xdr:row>
      <xdr:rowOff>38100</xdr:rowOff>
    </xdr:from>
    <xdr:to>
      <xdr:col>10</xdr:col>
      <xdr:colOff>590550</xdr:colOff>
      <xdr:row>24</xdr:row>
      <xdr:rowOff>28575</xdr:rowOff>
    </xdr:to>
    <xdr:pic>
      <xdr:nvPicPr>
        <xdr:cNvPr id="1032" name="Picture 2" descr=" \frac {P_r}{P_f} = \left ( \frac {VSWR - 1}{VSWR + 1} \right )^2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3476625"/>
          <a:ext cx="1752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B38" sqref="B38"/>
    </sheetView>
  </sheetViews>
  <sheetFormatPr defaultRowHeight="12.75" x14ac:dyDescent="0.2"/>
  <cols>
    <col min="1" max="1" width="9.140625" style="1"/>
    <col min="2" max="8" width="11.7109375" style="1" customWidth="1"/>
    <col min="9" max="14" width="9.140625" style="1"/>
    <col min="15" max="15" width="3.140625" style="1" customWidth="1"/>
    <col min="16" max="16384" width="9.140625" style="1"/>
  </cols>
  <sheetData>
    <row r="1" spans="1:15" ht="15.75" x14ac:dyDescent="0.25">
      <c r="A1" s="14"/>
      <c r="B1" s="15" t="s">
        <v>12</v>
      </c>
      <c r="C1" s="14"/>
      <c r="D1" s="14" t="s">
        <v>156</v>
      </c>
      <c r="E1" s="14"/>
      <c r="F1" s="14"/>
      <c r="G1" s="14"/>
      <c r="H1" s="28" t="s">
        <v>9</v>
      </c>
      <c r="I1" s="14"/>
      <c r="J1" s="14"/>
      <c r="K1" s="14"/>
      <c r="L1" s="14"/>
      <c r="M1" s="14"/>
      <c r="N1" s="14"/>
      <c r="O1" s="14"/>
    </row>
    <row r="2" spans="1:15" x14ac:dyDescent="0.2">
      <c r="O2" s="103"/>
    </row>
    <row r="3" spans="1:15" ht="15.75" x14ac:dyDescent="0.25">
      <c r="B3" s="107" t="s">
        <v>75</v>
      </c>
      <c r="C3" s="108"/>
      <c r="O3" s="103"/>
    </row>
    <row r="4" spans="1:15" x14ac:dyDescent="0.2">
      <c r="F4" s="1" t="s">
        <v>77</v>
      </c>
      <c r="O4" s="103"/>
    </row>
    <row r="5" spans="1:15" x14ac:dyDescent="0.2">
      <c r="F5" s="1" t="s">
        <v>43</v>
      </c>
      <c r="O5" s="103"/>
    </row>
    <row r="6" spans="1:15" x14ac:dyDescent="0.2">
      <c r="B6" s="5" t="s">
        <v>17</v>
      </c>
      <c r="D6" s="4" t="s">
        <v>18</v>
      </c>
      <c r="F6" s="1" t="s">
        <v>78</v>
      </c>
      <c r="O6" s="103"/>
    </row>
    <row r="7" spans="1:15" x14ac:dyDescent="0.2">
      <c r="O7" s="103"/>
    </row>
    <row r="8" spans="1:15" x14ac:dyDescent="0.2">
      <c r="B8" s="11" t="s">
        <v>54</v>
      </c>
      <c r="C8" s="10"/>
      <c r="D8" s="10"/>
      <c r="F8" s="11" t="s">
        <v>56</v>
      </c>
      <c r="G8" s="11"/>
      <c r="H8" s="11"/>
      <c r="J8" s="11" t="s">
        <v>155</v>
      </c>
      <c r="K8" s="11"/>
      <c r="L8" s="11"/>
      <c r="M8" s="11"/>
      <c r="O8" s="103"/>
    </row>
    <row r="9" spans="1:15" s="3" customFormat="1" x14ac:dyDescent="0.2">
      <c r="B9" s="6" t="s">
        <v>14</v>
      </c>
      <c r="C9" s="6" t="s">
        <v>15</v>
      </c>
      <c r="D9" s="7" t="s">
        <v>16</v>
      </c>
      <c r="F9" s="6" t="s">
        <v>13</v>
      </c>
      <c r="G9" s="6" t="s">
        <v>14</v>
      </c>
      <c r="H9" s="7" t="s">
        <v>15</v>
      </c>
      <c r="J9" s="6" t="s">
        <v>1</v>
      </c>
      <c r="K9" s="6" t="s">
        <v>3</v>
      </c>
      <c r="L9" s="6" t="s">
        <v>2</v>
      </c>
      <c r="M9" s="7" t="s">
        <v>157</v>
      </c>
      <c r="O9" s="104"/>
    </row>
    <row r="10" spans="1:15" x14ac:dyDescent="0.2">
      <c r="B10" s="5">
        <v>10</v>
      </c>
      <c r="C10" s="5">
        <v>10</v>
      </c>
      <c r="D10" s="4">
        <f>B10*C10/(B10+C10)</f>
        <v>5</v>
      </c>
      <c r="E10" s="3" t="s">
        <v>142</v>
      </c>
      <c r="F10" s="5">
        <v>10</v>
      </c>
      <c r="G10" s="5">
        <v>12</v>
      </c>
      <c r="H10" s="4">
        <f>F10*G10/(G10-F10)</f>
        <v>60</v>
      </c>
      <c r="J10" s="5">
        <v>7.1</v>
      </c>
      <c r="K10" s="5">
        <v>330</v>
      </c>
      <c r="L10" s="5">
        <v>0</v>
      </c>
      <c r="M10" s="8">
        <f>2*PI()*J10*L10-1/2/PI()/J10/K10*10^6</f>
        <v>-67.927845963250263</v>
      </c>
      <c r="O10" s="103"/>
    </row>
    <row r="11" spans="1:15" x14ac:dyDescent="0.2">
      <c r="B11" s="5">
        <v>22</v>
      </c>
      <c r="C11" s="5">
        <v>33</v>
      </c>
      <c r="D11" s="4">
        <f>B11*C11/(B11+C11)</f>
        <v>13.2</v>
      </c>
      <c r="F11" s="5">
        <v>22</v>
      </c>
      <c r="G11" s="5">
        <v>33</v>
      </c>
      <c r="H11" s="4">
        <f>F11*G11/(G11-F11)</f>
        <v>66</v>
      </c>
      <c r="J11" s="5">
        <v>7.1</v>
      </c>
      <c r="K11" s="5">
        <v>330</v>
      </c>
      <c r="L11" s="5">
        <v>1.5229999999999999</v>
      </c>
      <c r="M11" s="8">
        <f>2*PI()*J11*L11-1/2/PI()/J11/K11*10^6</f>
        <v>1.4121718874747557E-2</v>
      </c>
      <c r="O11" s="103"/>
    </row>
    <row r="12" spans="1:15" x14ac:dyDescent="0.2">
      <c r="B12" s="5">
        <v>100</v>
      </c>
      <c r="C12" s="5">
        <v>150</v>
      </c>
      <c r="D12" s="4">
        <f>B12*C12/(B12+C12)</f>
        <v>60</v>
      </c>
      <c r="F12" s="5">
        <v>100</v>
      </c>
      <c r="G12" s="5">
        <v>150</v>
      </c>
      <c r="H12" s="4">
        <f>F12*G12/(G12-F12)</f>
        <v>300</v>
      </c>
      <c r="J12" s="5">
        <v>7.1</v>
      </c>
      <c r="K12" s="5">
        <v>330</v>
      </c>
      <c r="L12" s="5">
        <v>3</v>
      </c>
      <c r="M12" s="8">
        <f>2*PI()*J12*L12-1/2/PI()/J12/K12*10^6</f>
        <v>65.904001079674913</v>
      </c>
      <c r="O12" s="103"/>
    </row>
    <row r="13" spans="1:15" x14ac:dyDescent="0.2">
      <c r="O13" s="103"/>
    </row>
    <row r="14" spans="1:15" x14ac:dyDescent="0.2">
      <c r="B14" s="11" t="s">
        <v>55</v>
      </c>
      <c r="C14" s="11"/>
      <c r="D14" s="11"/>
      <c r="E14" s="13"/>
      <c r="F14" s="11" t="s">
        <v>57</v>
      </c>
      <c r="G14" s="11"/>
      <c r="H14" s="11"/>
      <c r="O14" s="103"/>
    </row>
    <row r="15" spans="1:15" s="3" customFormat="1" x14ac:dyDescent="0.2">
      <c r="B15" s="6" t="s">
        <v>148</v>
      </c>
      <c r="C15" s="6" t="s">
        <v>149</v>
      </c>
      <c r="D15" s="7" t="s">
        <v>16</v>
      </c>
      <c r="F15" s="6" t="s">
        <v>13</v>
      </c>
      <c r="G15" s="6" t="s">
        <v>148</v>
      </c>
      <c r="H15" s="7" t="s">
        <v>149</v>
      </c>
      <c r="O15" s="104"/>
    </row>
    <row r="16" spans="1:15" x14ac:dyDescent="0.2">
      <c r="B16" s="5">
        <v>10</v>
      </c>
      <c r="C16" s="5">
        <v>10</v>
      </c>
      <c r="D16" s="4">
        <f>1/(1/B16+1/C16)</f>
        <v>5</v>
      </c>
      <c r="E16" s="3" t="s">
        <v>143</v>
      </c>
      <c r="F16" s="5">
        <v>10</v>
      </c>
      <c r="G16" s="5">
        <v>12</v>
      </c>
      <c r="H16" s="4">
        <f>1/(1/F16-1/G16)</f>
        <v>59.999999999999964</v>
      </c>
      <c r="O16" s="103"/>
    </row>
    <row r="17" spans="2:15" x14ac:dyDescent="0.2">
      <c r="B17" s="5">
        <v>22</v>
      </c>
      <c r="C17" s="5">
        <v>33</v>
      </c>
      <c r="D17" s="4">
        <f>1/(1/B17+1/C17)</f>
        <v>13.2</v>
      </c>
      <c r="F17" s="5">
        <v>33</v>
      </c>
      <c r="G17" s="5">
        <v>47</v>
      </c>
      <c r="H17" s="9">
        <f>1/(1/F17-1/G17)</f>
        <v>110.78571428571426</v>
      </c>
      <c r="O17" s="103"/>
    </row>
    <row r="18" spans="2:15" x14ac:dyDescent="0.2">
      <c r="B18" s="5">
        <v>1</v>
      </c>
      <c r="C18" s="5">
        <v>10</v>
      </c>
      <c r="D18" s="4">
        <f>1/(1/B18+1/C18)</f>
        <v>0.90909090909090906</v>
      </c>
      <c r="F18" s="5">
        <v>5</v>
      </c>
      <c r="G18" s="5">
        <v>8.1999999999999993</v>
      </c>
      <c r="H18" s="4">
        <f>1/(1/F18-1/G18)</f>
        <v>12.8125</v>
      </c>
      <c r="O18" s="103"/>
    </row>
    <row r="19" spans="2:15" x14ac:dyDescent="0.2">
      <c r="O19" s="103"/>
    </row>
    <row r="20" spans="2:15" x14ac:dyDescent="0.2">
      <c r="B20" s="11" t="s">
        <v>38</v>
      </c>
      <c r="C20" s="11"/>
      <c r="D20" s="11"/>
      <c r="E20" s="13"/>
      <c r="F20" s="11" t="s">
        <v>147</v>
      </c>
      <c r="G20" s="10"/>
      <c r="H20" s="10"/>
      <c r="O20" s="103"/>
    </row>
    <row r="21" spans="2:15" x14ac:dyDescent="0.2">
      <c r="B21" s="6" t="s">
        <v>2</v>
      </c>
      <c r="C21" s="6" t="s">
        <v>3</v>
      </c>
      <c r="D21" s="7" t="s">
        <v>1</v>
      </c>
      <c r="F21" s="6" t="s">
        <v>150</v>
      </c>
      <c r="G21" s="6" t="s">
        <v>34</v>
      </c>
      <c r="H21" s="7" t="s">
        <v>35</v>
      </c>
      <c r="O21" s="103"/>
    </row>
    <row r="22" spans="2:15" x14ac:dyDescent="0.2">
      <c r="B22" s="5">
        <v>0.22</v>
      </c>
      <c r="C22" s="5">
        <v>31</v>
      </c>
      <c r="D22" s="17">
        <f>1/2/PI()/SQRT(B22*10^-6*C22*10^-12)/10^6</f>
        <v>60.943577471158164</v>
      </c>
      <c r="E22" s="3" t="s">
        <v>144</v>
      </c>
      <c r="F22" s="5">
        <v>1</v>
      </c>
      <c r="G22" s="5">
        <v>1</v>
      </c>
      <c r="H22" s="25">
        <f>1/2/PI()/F22/G22*10^6</f>
        <v>159154.94309189534</v>
      </c>
      <c r="O22" s="103"/>
    </row>
    <row r="23" spans="2:15" x14ac:dyDescent="0.2">
      <c r="B23" s="5">
        <v>3.3</v>
      </c>
      <c r="C23" s="5">
        <v>39</v>
      </c>
      <c r="D23" s="17">
        <f>1/2/PI()/SQRT(B23*10^-6*C23*10^-12)/10^6</f>
        <v>14.02913383077648</v>
      </c>
      <c r="E23" s="3" t="s">
        <v>145</v>
      </c>
      <c r="F23" s="5">
        <v>10</v>
      </c>
      <c r="G23" s="5">
        <v>10</v>
      </c>
      <c r="H23" s="25">
        <f>1/2/PI()/F23/G23*10^6</f>
        <v>1591.5494309189532</v>
      </c>
      <c r="O23" s="103"/>
    </row>
    <row r="24" spans="2:15" x14ac:dyDescent="0.2">
      <c r="B24" s="5">
        <v>9</v>
      </c>
      <c r="C24" s="5">
        <v>220</v>
      </c>
      <c r="D24" s="17">
        <f>1/2/PI()/SQRT(B24*10^-6*C24*10^-12)/10^6</f>
        <v>3.5767413580966987</v>
      </c>
      <c r="F24" s="5">
        <v>100</v>
      </c>
      <c r="G24" s="5">
        <v>100</v>
      </c>
      <c r="H24" s="25">
        <f>1/2/PI()/F24/G24*10^6</f>
        <v>15.915494309189537</v>
      </c>
      <c r="O24" s="103"/>
    </row>
    <row r="25" spans="2:15" x14ac:dyDescent="0.2">
      <c r="O25" s="103"/>
    </row>
    <row r="26" spans="2:15" x14ac:dyDescent="0.2">
      <c r="B26" s="11" t="s">
        <v>10</v>
      </c>
      <c r="C26" s="11"/>
      <c r="D26" s="11"/>
      <c r="E26" s="13"/>
      <c r="F26" s="11" t="s">
        <v>11</v>
      </c>
      <c r="G26" s="11"/>
      <c r="H26" s="11"/>
      <c r="O26" s="103"/>
    </row>
    <row r="27" spans="2:15" x14ac:dyDescent="0.2">
      <c r="B27" s="6" t="s">
        <v>0</v>
      </c>
      <c r="C27" s="6" t="s">
        <v>1</v>
      </c>
      <c r="D27" s="7" t="s">
        <v>158</v>
      </c>
      <c r="F27" s="6" t="s">
        <v>2</v>
      </c>
      <c r="G27" s="6" t="s">
        <v>1</v>
      </c>
      <c r="H27" s="7" t="s">
        <v>159</v>
      </c>
      <c r="O27" s="103"/>
    </row>
    <row r="28" spans="2:15" x14ac:dyDescent="0.2">
      <c r="B28" s="5">
        <v>30.8</v>
      </c>
      <c r="C28" s="5">
        <v>24.9</v>
      </c>
      <c r="D28" s="27">
        <f>-1/2/PI()/C28/10^6/B28*10^12</f>
        <v>-207.52483061061824</v>
      </c>
      <c r="E28" s="3" t="s">
        <v>146</v>
      </c>
      <c r="F28" s="5">
        <v>0.16500000000000001</v>
      </c>
      <c r="G28" s="5">
        <v>25</v>
      </c>
      <c r="H28" s="31">
        <f>2*PI()*G28*F28</f>
        <v>25.918139392115794</v>
      </c>
      <c r="O28" s="103"/>
    </row>
    <row r="29" spans="2:15" x14ac:dyDescent="0.2">
      <c r="B29" s="5">
        <v>220</v>
      </c>
      <c r="C29" s="5">
        <v>14</v>
      </c>
      <c r="D29" s="27">
        <f>-1/2/PI()/C29/10^6/B29*10^12</f>
        <v>-51.673682822043936</v>
      </c>
      <c r="F29" s="5">
        <v>22.5</v>
      </c>
      <c r="G29" s="5">
        <v>3.6</v>
      </c>
      <c r="H29" s="27">
        <f>2*PI()*G29*F29</f>
        <v>508.93800988154646</v>
      </c>
      <c r="O29" s="103"/>
    </row>
    <row r="30" spans="2:15" x14ac:dyDescent="0.2">
      <c r="B30" s="5">
        <v>3300</v>
      </c>
      <c r="C30" s="5">
        <v>7.1</v>
      </c>
      <c r="D30" s="31">
        <f>-1/2/PI()/C30/10^6/B30*10^12</f>
        <v>-6.7927845963250251</v>
      </c>
      <c r="F30" s="5">
        <v>1.54</v>
      </c>
      <c r="G30" s="5">
        <v>18.100000000000001</v>
      </c>
      <c r="H30" s="27">
        <f>2*PI()*G30*F30</f>
        <v>175.13750725232379</v>
      </c>
      <c r="O30" s="103"/>
    </row>
    <row r="31" spans="2:15" x14ac:dyDescent="0.2">
      <c r="D31" s="2"/>
      <c r="O31" s="103"/>
    </row>
    <row r="32" spans="2:15" x14ac:dyDescent="0.2">
      <c r="B32" s="11" t="s">
        <v>24</v>
      </c>
      <c r="C32" s="10"/>
      <c r="D32" s="12"/>
      <c r="E32" s="10"/>
      <c r="F32" s="13"/>
      <c r="G32" s="42"/>
      <c r="H32" s="42"/>
      <c r="O32" s="103"/>
    </row>
    <row r="33" spans="1:15" x14ac:dyDescent="0.2">
      <c r="B33" s="6" t="s">
        <v>5</v>
      </c>
      <c r="C33" s="6" t="s">
        <v>25</v>
      </c>
      <c r="D33" s="7" t="s">
        <v>6</v>
      </c>
      <c r="E33" s="7" t="s">
        <v>7</v>
      </c>
      <c r="F33" s="40"/>
      <c r="G33" s="43"/>
      <c r="H33" s="24"/>
      <c r="O33" s="103"/>
    </row>
    <row r="34" spans="1:15" x14ac:dyDescent="0.2">
      <c r="B34" s="5">
        <v>3530</v>
      </c>
      <c r="C34" s="5">
        <v>100</v>
      </c>
      <c r="D34" s="8">
        <f>10^9/C34/2/PI()/B34</f>
        <v>450.86386145012841</v>
      </c>
      <c r="E34" s="9">
        <f>C34/2/PI()/B34*10^3</f>
        <v>4.5086386145012849</v>
      </c>
      <c r="G34" s="44"/>
      <c r="O34" s="103"/>
    </row>
    <row r="35" spans="1:15" x14ac:dyDescent="0.2">
      <c r="B35" s="5">
        <v>14060</v>
      </c>
      <c r="C35" s="5">
        <v>250</v>
      </c>
      <c r="D35" s="8">
        <f>10^9/C35/2/PI()/B35</f>
        <v>45.278788930837933</v>
      </c>
      <c r="E35" s="9">
        <f>C35/2/PI()/B35*10^3</f>
        <v>2.8299243081773708</v>
      </c>
      <c r="G35" s="44"/>
      <c r="O35" s="103"/>
    </row>
    <row r="36" spans="1:15" x14ac:dyDescent="0.2">
      <c r="B36" s="5">
        <v>24900</v>
      </c>
      <c r="C36" s="5">
        <v>300</v>
      </c>
      <c r="D36" s="8">
        <f>10^9/C36/2/PI()/B36</f>
        <v>21.305882609356807</v>
      </c>
      <c r="E36" s="9">
        <f>C36/2/PI()/B36*10^3</f>
        <v>1.9175294348421126</v>
      </c>
      <c r="G36" s="44"/>
      <c r="O36" s="103"/>
    </row>
    <row r="37" spans="1:15" x14ac:dyDescent="0.2">
      <c r="O37" s="103"/>
    </row>
    <row r="38" spans="1:15" x14ac:dyDescent="0.2">
      <c r="A38" s="102"/>
      <c r="B38" s="102">
        <v>42633</v>
      </c>
      <c r="C38" s="103"/>
      <c r="D38" s="103"/>
      <c r="E38" s="103"/>
      <c r="F38" s="103"/>
      <c r="G38" s="103"/>
      <c r="H38" s="102"/>
      <c r="I38" s="102"/>
      <c r="J38" s="102"/>
      <c r="K38" s="102"/>
      <c r="L38" s="102"/>
      <c r="M38" s="102"/>
      <c r="N38" s="102"/>
      <c r="O38" s="103"/>
    </row>
  </sheetData>
  <phoneticPr fontId="2" type="noConversion"/>
  <pageMargins left="0.75" right="0.75" top="1" bottom="1" header="0.4921259845" footer="0.492125984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26" sqref="B26"/>
    </sheetView>
  </sheetViews>
  <sheetFormatPr defaultRowHeight="12.75" x14ac:dyDescent="0.2"/>
  <cols>
    <col min="1" max="1" width="9.140625" style="1"/>
    <col min="2" max="5" width="11.7109375" style="1" customWidth="1"/>
    <col min="6" max="6" width="2.7109375" style="1" customWidth="1"/>
    <col min="7" max="7" width="13.140625" style="1" customWidth="1"/>
    <col min="8" max="9" width="11.7109375" style="1" customWidth="1"/>
    <col min="10" max="10" width="9.140625" style="1"/>
    <col min="11" max="11" width="11.5703125" style="1" customWidth="1"/>
    <col min="12" max="12" width="9.140625" style="1"/>
    <col min="13" max="13" width="3" style="1" customWidth="1"/>
    <col min="14" max="16384" width="9.140625" style="1"/>
  </cols>
  <sheetData>
    <row r="1" spans="1:13" ht="15.75" x14ac:dyDescent="0.25">
      <c r="A1" s="14"/>
      <c r="B1" s="15" t="s">
        <v>12</v>
      </c>
      <c r="C1" s="14"/>
      <c r="D1" s="14"/>
      <c r="E1" s="14"/>
      <c r="F1" s="14"/>
      <c r="G1" s="14"/>
      <c r="H1" s="14"/>
      <c r="I1" s="28"/>
      <c r="J1" s="14"/>
      <c r="K1" s="28" t="s">
        <v>9</v>
      </c>
      <c r="L1" s="14"/>
      <c r="M1" s="14"/>
    </row>
    <row r="2" spans="1:13" x14ac:dyDescent="0.2">
      <c r="M2" s="103"/>
    </row>
    <row r="3" spans="1:13" ht="15.75" x14ac:dyDescent="0.25">
      <c r="B3" s="107" t="s">
        <v>72</v>
      </c>
      <c r="C3" s="108"/>
      <c r="M3" s="103"/>
    </row>
    <row r="4" spans="1:13" x14ac:dyDescent="0.2">
      <c r="M4" s="103"/>
    </row>
    <row r="5" spans="1:13" x14ac:dyDescent="0.2">
      <c r="B5" s="5" t="s">
        <v>17</v>
      </c>
      <c r="D5" s="4" t="s">
        <v>18</v>
      </c>
      <c r="G5" s="1" t="s">
        <v>43</v>
      </c>
      <c r="M5" s="103"/>
    </row>
    <row r="6" spans="1:13" x14ac:dyDescent="0.2">
      <c r="M6" s="103"/>
    </row>
    <row r="7" spans="1:13" x14ac:dyDescent="0.2">
      <c r="B7" s="11" t="s">
        <v>65</v>
      </c>
      <c r="C7" s="10"/>
      <c r="D7" s="10"/>
      <c r="E7" s="10"/>
      <c r="G7" s="46" t="s">
        <v>83</v>
      </c>
      <c r="H7" s="11" t="s">
        <v>69</v>
      </c>
      <c r="I7" s="10"/>
      <c r="J7" s="10"/>
      <c r="K7" s="10"/>
      <c r="M7" s="103"/>
    </row>
    <row r="8" spans="1:13" x14ac:dyDescent="0.2">
      <c r="B8" s="6" t="s">
        <v>62</v>
      </c>
      <c r="C8" s="6" t="s">
        <v>63</v>
      </c>
      <c r="D8" s="7" t="s">
        <v>64</v>
      </c>
      <c r="E8" s="7" t="s">
        <v>66</v>
      </c>
      <c r="G8" s="46" t="s">
        <v>84</v>
      </c>
      <c r="H8" s="6" t="s">
        <v>66</v>
      </c>
      <c r="I8" s="6" t="s">
        <v>62</v>
      </c>
      <c r="J8" s="7" t="s">
        <v>63</v>
      </c>
      <c r="K8" s="7" t="s">
        <v>64</v>
      </c>
      <c r="M8" s="103"/>
    </row>
    <row r="9" spans="1:13" x14ac:dyDescent="0.2">
      <c r="B9" s="5">
        <v>12</v>
      </c>
      <c r="C9" s="5">
        <v>1</v>
      </c>
      <c r="D9" s="4">
        <f>B9/C9</f>
        <v>12</v>
      </c>
      <c r="E9" s="4">
        <f>B9*C9</f>
        <v>12</v>
      </c>
      <c r="G9" s="46" t="s">
        <v>85</v>
      </c>
      <c r="H9" s="5">
        <v>12</v>
      </c>
      <c r="I9" s="5">
        <v>12</v>
      </c>
      <c r="J9" s="4">
        <f>H9/I9</f>
        <v>1</v>
      </c>
      <c r="K9" s="4">
        <f>I9^2/H9</f>
        <v>12</v>
      </c>
      <c r="M9" s="103"/>
    </row>
    <row r="10" spans="1:13" x14ac:dyDescent="0.2">
      <c r="B10" s="5">
        <v>13.6</v>
      </c>
      <c r="C10" s="5">
        <v>20</v>
      </c>
      <c r="D10" s="4">
        <f>B10/C10</f>
        <v>0.67999999999999994</v>
      </c>
      <c r="E10" s="4">
        <f>B10*C10</f>
        <v>272</v>
      </c>
      <c r="G10" s="46" t="s">
        <v>86</v>
      </c>
      <c r="H10" s="5">
        <v>272</v>
      </c>
      <c r="I10" s="5">
        <v>13.6</v>
      </c>
      <c r="J10" s="4">
        <f>H10/I10</f>
        <v>20</v>
      </c>
      <c r="K10" s="4">
        <f>I10^2/H10</f>
        <v>0.67999999999999994</v>
      </c>
      <c r="M10" s="103"/>
    </row>
    <row r="11" spans="1:13" x14ac:dyDescent="0.2">
      <c r="B11" s="5">
        <v>230</v>
      </c>
      <c r="C11" s="5">
        <v>10</v>
      </c>
      <c r="D11" s="4">
        <f>B11/C11</f>
        <v>23</v>
      </c>
      <c r="E11" s="4">
        <f>B11*C11</f>
        <v>2300</v>
      </c>
      <c r="H11" s="5">
        <v>2300</v>
      </c>
      <c r="I11" s="5">
        <v>230</v>
      </c>
      <c r="J11" s="4">
        <f>H11/I11</f>
        <v>10</v>
      </c>
      <c r="K11" s="4">
        <f>I11^2/H11</f>
        <v>23</v>
      </c>
      <c r="M11" s="103"/>
    </row>
    <row r="12" spans="1:13" x14ac:dyDescent="0.2">
      <c r="M12" s="103"/>
    </row>
    <row r="13" spans="1:13" x14ac:dyDescent="0.2">
      <c r="B13" s="11" t="s">
        <v>67</v>
      </c>
      <c r="C13" s="10"/>
      <c r="D13" s="10"/>
      <c r="E13" s="10"/>
      <c r="H13" s="11" t="s">
        <v>70</v>
      </c>
      <c r="I13" s="10"/>
      <c r="J13" s="10"/>
      <c r="K13" s="10"/>
      <c r="M13" s="103"/>
    </row>
    <row r="14" spans="1:13" x14ac:dyDescent="0.2">
      <c r="B14" s="6" t="s">
        <v>62</v>
      </c>
      <c r="C14" s="6" t="s">
        <v>64</v>
      </c>
      <c r="D14" s="7" t="s">
        <v>63</v>
      </c>
      <c r="E14" s="7" t="s">
        <v>66</v>
      </c>
      <c r="H14" s="6" t="s">
        <v>66</v>
      </c>
      <c r="I14" s="6" t="s">
        <v>63</v>
      </c>
      <c r="J14" s="7" t="s">
        <v>62</v>
      </c>
      <c r="K14" s="7" t="s">
        <v>64</v>
      </c>
      <c r="M14" s="103"/>
    </row>
    <row r="15" spans="1:13" x14ac:dyDescent="0.2">
      <c r="B15" s="5">
        <v>12</v>
      </c>
      <c r="C15" s="5">
        <v>12</v>
      </c>
      <c r="D15" s="4">
        <f>B15/C15</f>
        <v>1</v>
      </c>
      <c r="E15" s="4">
        <f>B15^2/C15</f>
        <v>12</v>
      </c>
      <c r="H15" s="5">
        <v>12</v>
      </c>
      <c r="I15" s="5">
        <v>1</v>
      </c>
      <c r="J15" s="4">
        <f>H15/I15</f>
        <v>12</v>
      </c>
      <c r="K15" s="4">
        <f>H15/I15^2</f>
        <v>12</v>
      </c>
      <c r="M15" s="103"/>
    </row>
    <row r="16" spans="1:13" x14ac:dyDescent="0.2">
      <c r="B16" s="5">
        <v>13.6</v>
      </c>
      <c r="C16" s="5">
        <v>0.68</v>
      </c>
      <c r="D16" s="4">
        <f>B16/C16</f>
        <v>19.999999999999996</v>
      </c>
      <c r="E16" s="4">
        <f>B16^2/C16</f>
        <v>271.99999999999994</v>
      </c>
      <c r="H16" s="5">
        <v>272</v>
      </c>
      <c r="I16" s="5">
        <v>20</v>
      </c>
      <c r="J16" s="4">
        <f>H16/I16</f>
        <v>13.6</v>
      </c>
      <c r="K16" s="4">
        <f>H16/I16^2</f>
        <v>0.68</v>
      </c>
      <c r="M16" s="103"/>
    </row>
    <row r="17" spans="1:13" x14ac:dyDescent="0.2">
      <c r="B17" s="5">
        <v>230</v>
      </c>
      <c r="C17" s="5">
        <v>23</v>
      </c>
      <c r="D17" s="4">
        <f>B17/C17</f>
        <v>10</v>
      </c>
      <c r="E17" s="4">
        <f>B17^2/C17</f>
        <v>2300</v>
      </c>
      <c r="H17" s="5">
        <v>2300</v>
      </c>
      <c r="I17" s="5">
        <v>10</v>
      </c>
      <c r="J17" s="4">
        <f>H17/I17</f>
        <v>230</v>
      </c>
      <c r="K17" s="4">
        <f>H17/I17^2</f>
        <v>23</v>
      </c>
      <c r="M17" s="103"/>
    </row>
    <row r="18" spans="1:13" x14ac:dyDescent="0.2">
      <c r="M18" s="103"/>
    </row>
    <row r="19" spans="1:13" x14ac:dyDescent="0.2">
      <c r="B19" s="11" t="s">
        <v>68</v>
      </c>
      <c r="C19" s="10"/>
      <c r="D19" s="10"/>
      <c r="E19" s="10"/>
      <c r="H19" s="11" t="s">
        <v>71</v>
      </c>
      <c r="I19" s="10"/>
      <c r="J19" s="10"/>
      <c r="K19" s="10"/>
      <c r="M19" s="103"/>
    </row>
    <row r="20" spans="1:13" x14ac:dyDescent="0.2">
      <c r="B20" s="6" t="s">
        <v>63</v>
      </c>
      <c r="C20" s="6" t="s">
        <v>64</v>
      </c>
      <c r="D20" s="7" t="s">
        <v>62</v>
      </c>
      <c r="E20" s="7" t="s">
        <v>66</v>
      </c>
      <c r="H20" s="6" t="s">
        <v>66</v>
      </c>
      <c r="I20" s="6" t="s">
        <v>64</v>
      </c>
      <c r="J20" s="7" t="s">
        <v>62</v>
      </c>
      <c r="K20" s="7" t="s">
        <v>63</v>
      </c>
      <c r="M20" s="103"/>
    </row>
    <row r="21" spans="1:13" x14ac:dyDescent="0.2">
      <c r="B21" s="5">
        <v>1</v>
      </c>
      <c r="C21" s="5">
        <v>12</v>
      </c>
      <c r="D21" s="4">
        <f>B21*C21</f>
        <v>12</v>
      </c>
      <c r="E21" s="4">
        <f>B21^2*C21</f>
        <v>12</v>
      </c>
      <c r="H21" s="5">
        <v>5</v>
      </c>
      <c r="I21" s="5">
        <v>50</v>
      </c>
      <c r="J21" s="4">
        <f>SQRT(H21*I21)</f>
        <v>15.811388300841896</v>
      </c>
      <c r="K21" s="4">
        <f>SQRT(H21/I21)</f>
        <v>0.31622776601683794</v>
      </c>
      <c r="M21" s="103"/>
    </row>
    <row r="22" spans="1:13" x14ac:dyDescent="0.2">
      <c r="B22" s="5">
        <v>20</v>
      </c>
      <c r="C22" s="5">
        <v>0.68</v>
      </c>
      <c r="D22" s="4">
        <f>B22*C22</f>
        <v>13.600000000000001</v>
      </c>
      <c r="E22" s="4">
        <f>B22^2*C22</f>
        <v>272</v>
      </c>
      <c r="H22" s="5">
        <v>100</v>
      </c>
      <c r="I22" s="5">
        <v>50</v>
      </c>
      <c r="J22" s="4">
        <f>SQRT(H22*I22)</f>
        <v>70.710678118654755</v>
      </c>
      <c r="K22" s="4">
        <f>SQRT(H22/I22)</f>
        <v>1.4142135623730951</v>
      </c>
      <c r="M22" s="103"/>
    </row>
    <row r="23" spans="1:13" x14ac:dyDescent="0.2">
      <c r="B23" s="5">
        <v>10</v>
      </c>
      <c r="C23" s="5">
        <v>23</v>
      </c>
      <c r="D23" s="4">
        <f>B23*C23</f>
        <v>230</v>
      </c>
      <c r="E23" s="4">
        <f>B23^2*C23</f>
        <v>2300</v>
      </c>
      <c r="H23" s="5">
        <v>1500</v>
      </c>
      <c r="I23" s="5">
        <v>50</v>
      </c>
      <c r="J23" s="4">
        <f>SQRT(H23*I23)</f>
        <v>273.86127875258308</v>
      </c>
      <c r="K23" s="4">
        <f>SQRT(H23/I23)</f>
        <v>5.4772255750516612</v>
      </c>
      <c r="M23" s="103"/>
    </row>
    <row r="24" spans="1:13" x14ac:dyDescent="0.2">
      <c r="M24" s="103"/>
    </row>
    <row r="25" spans="1:13" x14ac:dyDescent="0.2">
      <c r="M25" s="103"/>
    </row>
    <row r="26" spans="1:13" x14ac:dyDescent="0.2">
      <c r="A26" s="102"/>
      <c r="B26" s="102">
        <v>42633</v>
      </c>
      <c r="C26" s="103"/>
      <c r="D26" s="103"/>
      <c r="E26" s="103"/>
      <c r="F26" s="103"/>
      <c r="G26" s="103"/>
      <c r="H26" s="103"/>
      <c r="I26" s="102"/>
      <c r="J26" s="102"/>
      <c r="K26" s="102"/>
      <c r="L26" s="102"/>
      <c r="M26" s="103"/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B33" sqref="B33"/>
    </sheetView>
  </sheetViews>
  <sheetFormatPr defaultRowHeight="12.75" x14ac:dyDescent="0.2"/>
  <cols>
    <col min="1" max="1" width="9.140625" style="1"/>
    <col min="2" max="2" width="13" style="1" customWidth="1"/>
    <col min="3" max="5" width="11.7109375" style="1" customWidth="1"/>
    <col min="6" max="6" width="8.140625" style="1" customWidth="1"/>
    <col min="7" max="7" width="12.28515625" style="1" customWidth="1"/>
    <col min="8" max="8" width="12.85546875" style="1" customWidth="1"/>
    <col min="9" max="9" width="9.140625" style="1"/>
    <col min="10" max="10" width="2.85546875" style="1" customWidth="1"/>
    <col min="11" max="16384" width="9.140625" style="1"/>
  </cols>
  <sheetData>
    <row r="1" spans="1:10" ht="15.75" x14ac:dyDescent="0.25">
      <c r="A1" s="99"/>
      <c r="B1" s="100" t="s">
        <v>12</v>
      </c>
      <c r="C1" s="99"/>
      <c r="D1" s="99"/>
      <c r="E1" s="99"/>
      <c r="F1" s="99"/>
      <c r="G1" s="99"/>
      <c r="H1" s="101" t="s">
        <v>9</v>
      </c>
      <c r="I1" s="99"/>
      <c r="J1" s="99"/>
    </row>
    <row r="2" spans="1:10" x14ac:dyDescent="0.2">
      <c r="J2" s="103"/>
    </row>
    <row r="3" spans="1:10" ht="15.75" x14ac:dyDescent="0.25">
      <c r="B3" s="107" t="s">
        <v>74</v>
      </c>
      <c r="C3" s="108"/>
      <c r="J3" s="103"/>
    </row>
    <row r="4" spans="1:10" x14ac:dyDescent="0.2">
      <c r="J4" s="103"/>
    </row>
    <row r="5" spans="1:10" x14ac:dyDescent="0.2">
      <c r="B5" s="5" t="s">
        <v>17</v>
      </c>
      <c r="C5" s="4" t="s">
        <v>18</v>
      </c>
      <c r="F5" s="62" t="s">
        <v>167</v>
      </c>
      <c r="J5" s="103"/>
    </row>
    <row r="6" spans="1:10" x14ac:dyDescent="0.2">
      <c r="J6" s="103"/>
    </row>
    <row r="7" spans="1:10" x14ac:dyDescent="0.2">
      <c r="B7" s="11" t="s">
        <v>36</v>
      </c>
      <c r="C7" s="18"/>
      <c r="F7" s="30" t="s">
        <v>141</v>
      </c>
      <c r="G7" s="29"/>
      <c r="H7" s="29"/>
      <c r="J7" s="103"/>
    </row>
    <row r="8" spans="1:10" x14ac:dyDescent="0.2">
      <c r="B8" s="6" t="s">
        <v>19</v>
      </c>
      <c r="C8" s="26" t="s">
        <v>4</v>
      </c>
      <c r="F8" s="6" t="s">
        <v>4</v>
      </c>
      <c r="G8" s="7" t="s">
        <v>44</v>
      </c>
      <c r="H8" s="7" t="s">
        <v>49</v>
      </c>
      <c r="J8" s="103"/>
    </row>
    <row r="9" spans="1:10" x14ac:dyDescent="0.2">
      <c r="B9" s="5">
        <v>2</v>
      </c>
      <c r="C9" s="8">
        <f>10*LOG(B9)</f>
        <v>3.0102999566398121</v>
      </c>
      <c r="F9" s="22">
        <v>1</v>
      </c>
      <c r="G9" s="31">
        <f t="shared" ref="G9:G14" si="0">10^(F9/10)</f>
        <v>1.2589254117941673</v>
      </c>
      <c r="H9" s="9">
        <f t="shared" ref="H9:H14" si="1">SQRT(G9)</f>
        <v>1.1220184543019636</v>
      </c>
      <c r="J9" s="103"/>
    </row>
    <row r="10" spans="1:10" x14ac:dyDescent="0.2">
      <c r="B10" s="5">
        <v>4</v>
      </c>
      <c r="C10" s="8">
        <f>10*LOG(B10)</f>
        <v>6.0205999132796242</v>
      </c>
      <c r="F10" s="22">
        <v>3</v>
      </c>
      <c r="G10" s="31">
        <f t="shared" si="0"/>
        <v>1.9952623149688797</v>
      </c>
      <c r="H10" s="9">
        <f t="shared" si="1"/>
        <v>1.4125375446227544</v>
      </c>
      <c r="J10" s="103"/>
    </row>
    <row r="11" spans="1:10" x14ac:dyDescent="0.2">
      <c r="B11" s="5">
        <v>10</v>
      </c>
      <c r="C11" s="8">
        <f>10*LOG(B11)</f>
        <v>10</v>
      </c>
      <c r="F11" s="22">
        <v>10</v>
      </c>
      <c r="G11" s="31">
        <f t="shared" si="0"/>
        <v>10</v>
      </c>
      <c r="H11" s="9">
        <f t="shared" si="1"/>
        <v>3.1622776601683795</v>
      </c>
      <c r="J11" s="103"/>
    </row>
    <row r="12" spans="1:10" x14ac:dyDescent="0.2">
      <c r="F12" s="22">
        <v>-0.95</v>
      </c>
      <c r="G12" s="31">
        <f t="shared" si="0"/>
        <v>0.80352612218561714</v>
      </c>
      <c r="H12" s="9">
        <f t="shared" si="1"/>
        <v>0.89639618594994985</v>
      </c>
      <c r="J12" s="103"/>
    </row>
    <row r="13" spans="1:10" x14ac:dyDescent="0.2">
      <c r="B13" s="11" t="s">
        <v>37</v>
      </c>
      <c r="C13" s="18"/>
      <c r="D13" s="18"/>
      <c r="F13" s="22">
        <v>-3</v>
      </c>
      <c r="G13" s="31">
        <f t="shared" si="0"/>
        <v>0.50118723362727224</v>
      </c>
      <c r="H13" s="9">
        <f t="shared" si="1"/>
        <v>0.70794578438413791</v>
      </c>
      <c r="J13" s="103"/>
    </row>
    <row r="14" spans="1:10" x14ac:dyDescent="0.2">
      <c r="B14" s="6" t="s">
        <v>20</v>
      </c>
      <c r="C14" s="26" t="s">
        <v>4</v>
      </c>
      <c r="D14" s="16" t="s">
        <v>44</v>
      </c>
      <c r="F14" s="22">
        <v>-10</v>
      </c>
      <c r="G14" s="31">
        <f t="shared" si="0"/>
        <v>0.1</v>
      </c>
      <c r="H14" s="9">
        <f t="shared" si="1"/>
        <v>0.31622776601683794</v>
      </c>
      <c r="J14" s="103"/>
    </row>
    <row r="15" spans="1:10" x14ac:dyDescent="0.2">
      <c r="B15" s="5">
        <v>2</v>
      </c>
      <c r="C15" s="8">
        <f>20*LOG(B15)</f>
        <v>6.0205999132796242</v>
      </c>
      <c r="D15" s="4">
        <f>B15^2</f>
        <v>4</v>
      </c>
      <c r="J15" s="103"/>
    </row>
    <row r="16" spans="1:10" x14ac:dyDescent="0.2">
      <c r="B16" s="5">
        <v>4</v>
      </c>
      <c r="C16" s="8">
        <f>20*LOG(B16)</f>
        <v>12.041199826559248</v>
      </c>
      <c r="D16" s="4">
        <f>B16^2</f>
        <v>16</v>
      </c>
      <c r="J16" s="103"/>
    </row>
    <row r="17" spans="2:10" x14ac:dyDescent="0.2">
      <c r="B17" s="5">
        <v>10</v>
      </c>
      <c r="C17" s="8">
        <f>20*LOG(B17)</f>
        <v>20</v>
      </c>
      <c r="D17" s="4">
        <f>B17^2</f>
        <v>100</v>
      </c>
      <c r="J17" s="103"/>
    </row>
    <row r="18" spans="2:10" x14ac:dyDescent="0.2">
      <c r="J18" s="103"/>
    </row>
    <row r="19" spans="2:10" x14ac:dyDescent="0.2">
      <c r="B19" s="11" t="s">
        <v>42</v>
      </c>
      <c r="C19" s="20"/>
      <c r="D19" s="20"/>
      <c r="E19" s="20"/>
      <c r="J19" s="103"/>
    </row>
    <row r="20" spans="2:10" s="24" customFormat="1" x14ac:dyDescent="0.2">
      <c r="B20" s="6" t="s">
        <v>32</v>
      </c>
      <c r="C20" s="21" t="s">
        <v>33</v>
      </c>
      <c r="D20" s="23" t="s">
        <v>30</v>
      </c>
      <c r="E20" s="23" t="s">
        <v>31</v>
      </c>
      <c r="J20" s="105"/>
    </row>
    <row r="21" spans="2:10" x14ac:dyDescent="0.2">
      <c r="B21" s="22">
        <v>1</v>
      </c>
      <c r="C21" s="75">
        <f>0.001*10^(B21/10)</f>
        <v>1.2589254117941673E-3</v>
      </c>
      <c r="D21" s="75">
        <f>SQRT(0.001*10^(B21/10)*50)</f>
        <v>0.25089095358284319</v>
      </c>
      <c r="E21" s="75">
        <f>D21*2*SQRT(2)</f>
        <v>0.70962677846715105</v>
      </c>
      <c r="J21" s="103"/>
    </row>
    <row r="22" spans="2:10" x14ac:dyDescent="0.2">
      <c r="B22" s="5">
        <v>30</v>
      </c>
      <c r="C22" s="75">
        <f>0.001*10^(B22/10)</f>
        <v>1</v>
      </c>
      <c r="D22" s="75">
        <f>SQRT(0.001*10^(B22/10)*50)</f>
        <v>7.0710678118654755</v>
      </c>
      <c r="E22" s="75">
        <f>D22*2*SQRT(2)</f>
        <v>20.000000000000004</v>
      </c>
      <c r="J22" s="103"/>
    </row>
    <row r="23" spans="2:10" x14ac:dyDescent="0.2">
      <c r="B23" s="5">
        <v>60</v>
      </c>
      <c r="C23" s="75">
        <f>0.001*10^(B23/10)</f>
        <v>1000</v>
      </c>
      <c r="D23" s="75">
        <f>SQRT(0.001*10^(B23/10)*50)</f>
        <v>223.60679774997897</v>
      </c>
      <c r="E23" s="75">
        <f>D23*2*SQRT(2)</f>
        <v>632.45553203367592</v>
      </c>
      <c r="J23" s="103"/>
    </row>
    <row r="24" spans="2:10" x14ac:dyDescent="0.2">
      <c r="J24" s="103"/>
    </row>
    <row r="25" spans="2:10" x14ac:dyDescent="0.2">
      <c r="B25" s="11" t="s">
        <v>41</v>
      </c>
      <c r="C25" s="10"/>
      <c r="D25" s="10"/>
      <c r="J25" s="103"/>
    </row>
    <row r="26" spans="2:10" x14ac:dyDescent="0.2">
      <c r="B26" s="6" t="s">
        <v>39</v>
      </c>
      <c r="C26" s="7" t="s">
        <v>32</v>
      </c>
      <c r="D26" s="7" t="s">
        <v>40</v>
      </c>
      <c r="J26" s="103"/>
    </row>
    <row r="27" spans="2:10" x14ac:dyDescent="0.2">
      <c r="B27" s="5">
        <v>0</v>
      </c>
      <c r="C27" s="4">
        <f>-73-9*6+B27*6</f>
        <v>-127</v>
      </c>
      <c r="D27" s="25">
        <f>SQRT(0.001*10^(C27/10)*50)*10^6</f>
        <v>9.988148764833453E-2</v>
      </c>
      <c r="J27" s="103"/>
    </row>
    <row r="28" spans="2:10" x14ac:dyDescent="0.2">
      <c r="B28" s="5">
        <v>4</v>
      </c>
      <c r="C28" s="4">
        <f>-73-9*6+B28*6</f>
        <v>-103</v>
      </c>
      <c r="D28" s="25">
        <f>SQRT(0.001*10^(C28/10)*50)*10^6</f>
        <v>1.5830148982673378</v>
      </c>
      <c r="J28" s="103"/>
    </row>
    <row r="29" spans="2:10" x14ac:dyDescent="0.2">
      <c r="B29" s="5">
        <v>9</v>
      </c>
      <c r="C29" s="4">
        <f>-73-9*6+B29*6</f>
        <v>-73</v>
      </c>
      <c r="D29" s="25">
        <f>SQRT(0.001*10^(C29/10)*50)*10^6</f>
        <v>50.059326485045304</v>
      </c>
      <c r="J29" s="103"/>
    </row>
    <row r="30" spans="2:10" x14ac:dyDescent="0.2">
      <c r="B30" s="81">
        <v>15</v>
      </c>
      <c r="C30" s="82">
        <f>-73+B30</f>
        <v>-58</v>
      </c>
      <c r="D30" s="83">
        <f>SQRT(0.001*10^(C30/10)*50)*10^6</f>
        <v>281.50427993736713</v>
      </c>
      <c r="E30" s="84" t="s">
        <v>140</v>
      </c>
      <c r="J30" s="103"/>
    </row>
    <row r="31" spans="2:10" x14ac:dyDescent="0.2">
      <c r="J31" s="103"/>
    </row>
    <row r="32" spans="2:10" x14ac:dyDescent="0.2">
      <c r="J32" s="103"/>
    </row>
    <row r="33" spans="1:10" x14ac:dyDescent="0.2">
      <c r="A33" s="102"/>
      <c r="B33" s="102">
        <v>42633</v>
      </c>
      <c r="C33" s="103"/>
      <c r="D33" s="103"/>
      <c r="E33" s="103"/>
      <c r="F33" s="103"/>
      <c r="G33" s="103"/>
      <c r="H33" s="102"/>
      <c r="I33" s="102"/>
      <c r="J33" s="103"/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B28" sqref="B28"/>
    </sheetView>
  </sheetViews>
  <sheetFormatPr defaultRowHeight="12.75" x14ac:dyDescent="0.2"/>
  <cols>
    <col min="1" max="1" width="9.140625" style="1"/>
    <col min="2" max="5" width="11.7109375" style="1" customWidth="1"/>
    <col min="6" max="6" width="4.140625" style="1" customWidth="1"/>
    <col min="7" max="9" width="11.7109375" style="1" customWidth="1"/>
    <col min="10" max="11" width="9.140625" style="1"/>
    <col min="12" max="12" width="2.42578125" style="1" customWidth="1"/>
    <col min="13" max="16384" width="9.140625" style="1"/>
  </cols>
  <sheetData>
    <row r="1" spans="1:12" ht="15.75" x14ac:dyDescent="0.25">
      <c r="A1" s="37"/>
      <c r="B1" s="15" t="s">
        <v>12</v>
      </c>
      <c r="C1" s="37"/>
      <c r="D1" s="14"/>
      <c r="E1" s="37"/>
      <c r="F1" s="37"/>
      <c r="G1" s="37"/>
      <c r="H1" s="37"/>
      <c r="I1" s="39"/>
      <c r="J1" s="39" t="s">
        <v>9</v>
      </c>
      <c r="K1" s="37"/>
      <c r="L1" s="37"/>
    </row>
    <row r="2" spans="1:12" x14ac:dyDescent="0.2">
      <c r="L2" s="103"/>
    </row>
    <row r="3" spans="1:12" ht="15.75" x14ac:dyDescent="0.25">
      <c r="B3" s="107" t="s">
        <v>73</v>
      </c>
      <c r="C3" s="108"/>
      <c r="D3" s="108"/>
      <c r="L3" s="103"/>
    </row>
    <row r="4" spans="1:12" x14ac:dyDescent="0.2">
      <c r="L4" s="103"/>
    </row>
    <row r="5" spans="1:12" x14ac:dyDescent="0.2">
      <c r="B5" s="5" t="s">
        <v>17</v>
      </c>
      <c r="D5" s="4" t="s">
        <v>18</v>
      </c>
      <c r="G5" s="1" t="s">
        <v>43</v>
      </c>
      <c r="L5" s="103"/>
    </row>
    <row r="6" spans="1:12" x14ac:dyDescent="0.2">
      <c r="L6" s="103"/>
    </row>
    <row r="7" spans="1:12" x14ac:dyDescent="0.2">
      <c r="B7" s="11" t="s">
        <v>59</v>
      </c>
      <c r="C7" s="10"/>
      <c r="D7" s="10"/>
      <c r="E7" s="10"/>
      <c r="G7" s="11" t="s">
        <v>45</v>
      </c>
      <c r="H7" s="10"/>
      <c r="I7" s="10"/>
      <c r="L7" s="103"/>
    </row>
    <row r="8" spans="1:12" x14ac:dyDescent="0.2">
      <c r="B8" s="6" t="s">
        <v>1</v>
      </c>
      <c r="C8" s="6" t="s">
        <v>46</v>
      </c>
      <c r="D8" s="7" t="s">
        <v>47</v>
      </c>
      <c r="E8" s="16" t="s">
        <v>58</v>
      </c>
      <c r="G8" s="32" t="s">
        <v>48</v>
      </c>
      <c r="H8" s="7" t="s">
        <v>47</v>
      </c>
      <c r="I8" s="16" t="s">
        <v>50</v>
      </c>
      <c r="L8" s="103"/>
    </row>
    <row r="9" spans="1:12" x14ac:dyDescent="0.2">
      <c r="B9" s="5">
        <v>7</v>
      </c>
      <c r="C9" s="5">
        <v>30</v>
      </c>
      <c r="D9" s="34">
        <f>ASIN(1/2/2/(C9/300*B9))*180/PI()</f>
        <v>20.924832427638311</v>
      </c>
      <c r="E9" s="25">
        <f>C9/TAN(D9/180*PI())</f>
        <v>78.460180983732144</v>
      </c>
      <c r="G9" s="33">
        <v>0.25</v>
      </c>
      <c r="H9" s="34">
        <f>ASIN(1/2/2/G9)*180/PI()</f>
        <v>90</v>
      </c>
      <c r="I9" s="8">
        <f>G9/TAN(H9/180*PI())</f>
        <v>1.531435568635775E-17</v>
      </c>
      <c r="L9" s="103"/>
    </row>
    <row r="10" spans="1:12" x14ac:dyDescent="0.2">
      <c r="B10" s="5">
        <v>14</v>
      </c>
      <c r="C10" s="5">
        <v>21</v>
      </c>
      <c r="D10" s="34">
        <f>ASIN(1/2/2/(C10/300*B10))*180/PI()</f>
        <v>14.779631630641488</v>
      </c>
      <c r="E10" s="25">
        <f>C10/TAN(D10/180*PI())</f>
        <v>79.596371776608038</v>
      </c>
      <c r="G10" s="33">
        <v>0.5</v>
      </c>
      <c r="H10" s="34">
        <f>ASIN(1/2/2/G10)*180/PI()</f>
        <v>30.000000000000004</v>
      </c>
      <c r="I10" s="8">
        <f>G10/TAN(H10/180*PI())</f>
        <v>0.86602540378443849</v>
      </c>
      <c r="L10" s="103"/>
    </row>
    <row r="11" spans="1:12" x14ac:dyDescent="0.2">
      <c r="B11" s="5">
        <v>21</v>
      </c>
      <c r="C11" s="5">
        <v>30</v>
      </c>
      <c r="D11" s="34">
        <f>ASIN(1/2/2/(C11/300*B11))*180/PI()</f>
        <v>6.8371411681361245</v>
      </c>
      <c r="E11" s="25">
        <f>C11/TAN(D11/180*PI())</f>
        <v>250.20791354391653</v>
      </c>
      <c r="G11" s="33">
        <v>1</v>
      </c>
      <c r="H11" s="34">
        <f>ASIN(1/2/2/G11)*180/PI()</f>
        <v>14.477512185929923</v>
      </c>
      <c r="I11" s="8">
        <f>G11/TAN(H11/180*PI())</f>
        <v>3.8729833462074175</v>
      </c>
      <c r="L11" s="103"/>
    </row>
    <row r="12" spans="1:12" x14ac:dyDescent="0.2">
      <c r="L12" s="103"/>
    </row>
    <row r="13" spans="1:12" x14ac:dyDescent="0.2">
      <c r="L13" s="103"/>
    </row>
    <row r="14" spans="1:12" x14ac:dyDescent="0.2">
      <c r="B14" s="11" t="s">
        <v>61</v>
      </c>
      <c r="C14" s="10"/>
      <c r="D14" s="10"/>
      <c r="E14" s="5">
        <v>0.96</v>
      </c>
      <c r="F14" s="5" t="s">
        <v>151</v>
      </c>
      <c r="G14" s="5"/>
      <c r="L14" s="103"/>
    </row>
    <row r="15" spans="1:12" x14ac:dyDescent="0.2">
      <c r="B15" s="6" t="s">
        <v>53</v>
      </c>
      <c r="C15" s="35" t="s">
        <v>51</v>
      </c>
      <c r="D15" s="7" t="s">
        <v>52</v>
      </c>
      <c r="E15" s="7" t="s">
        <v>60</v>
      </c>
      <c r="L15" s="103"/>
    </row>
    <row r="16" spans="1:12" x14ac:dyDescent="0.2">
      <c r="B16" s="5">
        <v>3790</v>
      </c>
      <c r="C16" s="9">
        <f>300000/B16</f>
        <v>79.155672823218993</v>
      </c>
      <c r="D16" s="36">
        <f>C16/2</f>
        <v>39.577836411609496</v>
      </c>
      <c r="E16" s="8">
        <f>D16*E$14</f>
        <v>37.994722955145114</v>
      </c>
      <c r="L16" s="103"/>
    </row>
    <row r="17" spans="1:12" x14ac:dyDescent="0.2">
      <c r="B17" s="5">
        <v>14195</v>
      </c>
      <c r="C17" s="9">
        <f>300000/B17</f>
        <v>21.134202183867558</v>
      </c>
      <c r="D17" s="36">
        <f>C17/2</f>
        <v>10.567101091933779</v>
      </c>
      <c r="E17" s="8">
        <f>D17*E$14</f>
        <v>10.144417048256427</v>
      </c>
      <c r="L17" s="103"/>
    </row>
    <row r="18" spans="1:12" x14ac:dyDescent="0.2">
      <c r="B18" s="5">
        <v>28495</v>
      </c>
      <c r="C18" s="9">
        <f>300000/B18</f>
        <v>10.52816283558519</v>
      </c>
      <c r="D18" s="36">
        <f>C18/2</f>
        <v>5.2640814177925952</v>
      </c>
      <c r="E18" s="8">
        <f>D18*E$14</f>
        <v>5.0535181610808912</v>
      </c>
      <c r="L18" s="103"/>
    </row>
    <row r="19" spans="1:12" x14ac:dyDescent="0.2">
      <c r="L19" s="103"/>
    </row>
    <row r="20" spans="1:12" x14ac:dyDescent="0.2">
      <c r="L20" s="103"/>
    </row>
    <row r="21" spans="1:12" x14ac:dyDescent="0.2">
      <c r="B21" s="11" t="s">
        <v>82</v>
      </c>
      <c r="C21" s="10"/>
      <c r="D21" s="10"/>
      <c r="G21" s="11" t="s">
        <v>152</v>
      </c>
      <c r="H21" s="10"/>
      <c r="L21" s="103"/>
    </row>
    <row r="22" spans="1:12" x14ac:dyDescent="0.2">
      <c r="B22" s="6" t="s">
        <v>80</v>
      </c>
      <c r="C22" s="6" t="s">
        <v>81</v>
      </c>
      <c r="D22" s="7" t="s">
        <v>79</v>
      </c>
      <c r="E22" s="24"/>
      <c r="G22" s="6" t="s">
        <v>79</v>
      </c>
      <c r="H22" s="7" t="s">
        <v>19</v>
      </c>
      <c r="L22" s="103"/>
    </row>
    <row r="23" spans="1:12" x14ac:dyDescent="0.2">
      <c r="B23" s="5">
        <v>80</v>
      </c>
      <c r="C23" s="5">
        <v>5</v>
      </c>
      <c r="D23" s="34">
        <f>(B23+C23)/(B23-C23)</f>
        <v>1.1333333333333333</v>
      </c>
      <c r="E23" s="45"/>
      <c r="G23" s="5">
        <v>1.02</v>
      </c>
      <c r="H23" s="80">
        <f>((G23-1)/(G23+1))^2</f>
        <v>9.8029604940692258E-5</v>
      </c>
      <c r="L23" s="103"/>
    </row>
    <row r="24" spans="1:12" x14ac:dyDescent="0.2">
      <c r="B24" s="5">
        <v>100</v>
      </c>
      <c r="C24" s="5">
        <v>20</v>
      </c>
      <c r="D24" s="34">
        <f>(B24+C24)/(B24-C24)</f>
        <v>1.5</v>
      </c>
      <c r="E24" s="45"/>
      <c r="G24" s="5">
        <v>1.1000000000000001</v>
      </c>
      <c r="H24" s="80">
        <f>((G24-1)/(G24+1))^2</f>
        <v>2.2675736961451282E-3</v>
      </c>
      <c r="L24" s="103"/>
    </row>
    <row r="25" spans="1:12" x14ac:dyDescent="0.2">
      <c r="B25" s="5">
        <v>100</v>
      </c>
      <c r="C25" s="5">
        <v>33</v>
      </c>
      <c r="D25" s="34">
        <f>(B25+C25)/(B25-C25)</f>
        <v>1.9850746268656716</v>
      </c>
      <c r="E25" s="45"/>
      <c r="G25" s="5">
        <v>2</v>
      </c>
      <c r="H25" s="80">
        <f>((G25-1)/(G25+1))^2</f>
        <v>0.1111111111111111</v>
      </c>
      <c r="L25" s="103"/>
    </row>
    <row r="26" spans="1:12" x14ac:dyDescent="0.2">
      <c r="B26" s="62" t="s">
        <v>177</v>
      </c>
      <c r="G26" s="62" t="s">
        <v>176</v>
      </c>
      <c r="L26" s="103"/>
    </row>
    <row r="27" spans="1:12" x14ac:dyDescent="0.2">
      <c r="L27" s="103"/>
    </row>
    <row r="28" spans="1:12" x14ac:dyDescent="0.2">
      <c r="A28" s="103"/>
      <c r="B28" s="102">
        <v>42633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Q27" sqref="Q27"/>
    </sheetView>
  </sheetViews>
  <sheetFormatPr defaultRowHeight="12.75" x14ac:dyDescent="0.2"/>
  <cols>
    <col min="1" max="1" width="9.140625" style="1"/>
    <col min="2" max="2" width="10.42578125" style="1" customWidth="1"/>
    <col min="3" max="3" width="12.28515625" style="1" customWidth="1"/>
    <col min="4" max="4" width="11.5703125" style="1" customWidth="1"/>
    <col min="5" max="5" width="5.7109375" style="1" customWidth="1"/>
    <col min="6" max="6" width="9.140625" style="1"/>
    <col min="7" max="7" width="12.28515625" style="1" customWidth="1"/>
    <col min="8" max="8" width="11.42578125" style="1" customWidth="1"/>
    <col min="9" max="9" width="5.7109375" style="1" customWidth="1"/>
    <col min="10" max="10" width="9.140625" style="1"/>
    <col min="11" max="11" width="12.42578125" style="1" customWidth="1"/>
    <col min="12" max="12" width="6.140625" style="1" customWidth="1"/>
    <col min="13" max="13" width="5.5703125" style="1" customWidth="1"/>
    <col min="14" max="14" width="9.140625" style="1"/>
    <col min="15" max="15" width="2.7109375" style="1" customWidth="1"/>
    <col min="16" max="16384" width="9.140625" style="1"/>
  </cols>
  <sheetData>
    <row r="1" spans="1:15" ht="15.75" x14ac:dyDescent="0.25">
      <c r="A1" s="47"/>
      <c r="B1" s="15" t="s">
        <v>12</v>
      </c>
      <c r="C1" s="37"/>
      <c r="D1" s="37"/>
      <c r="E1" s="37"/>
      <c r="F1" s="37"/>
      <c r="G1" s="37"/>
      <c r="H1" s="37"/>
      <c r="I1" s="37"/>
      <c r="J1" s="37"/>
      <c r="K1" s="28" t="s">
        <v>9</v>
      </c>
      <c r="L1" s="37"/>
      <c r="M1" s="37"/>
      <c r="N1" s="37"/>
      <c r="O1" s="37"/>
    </row>
    <row r="2" spans="1:15" x14ac:dyDescent="0.2">
      <c r="O2" s="103"/>
    </row>
    <row r="3" spans="1:15" ht="15.75" x14ac:dyDescent="0.25">
      <c r="B3" s="107" t="s">
        <v>89</v>
      </c>
      <c r="C3" s="108"/>
      <c r="D3" s="108"/>
      <c r="G3" s="49" t="s">
        <v>17</v>
      </c>
      <c r="H3" s="48" t="s">
        <v>18</v>
      </c>
      <c r="O3" s="103"/>
    </row>
    <row r="4" spans="1:15" x14ac:dyDescent="0.2">
      <c r="B4" s="108" t="s">
        <v>169</v>
      </c>
      <c r="C4" s="108"/>
      <c r="D4" s="108"/>
      <c r="O4" s="103"/>
    </row>
    <row r="5" spans="1:15" x14ac:dyDescent="0.2">
      <c r="O5" s="103"/>
    </row>
    <row r="6" spans="1:15" x14ac:dyDescent="0.2">
      <c r="B6" s="90" t="s">
        <v>92</v>
      </c>
      <c r="C6" s="90"/>
      <c r="D6" s="93" t="s">
        <v>99</v>
      </c>
      <c r="E6" s="51"/>
      <c r="F6" s="88" t="s">
        <v>95</v>
      </c>
      <c r="G6" s="88"/>
      <c r="H6" s="95" t="s">
        <v>100</v>
      </c>
      <c r="J6" s="96" t="s">
        <v>101</v>
      </c>
      <c r="K6" s="96"/>
      <c r="L6" s="97" t="s">
        <v>98</v>
      </c>
      <c r="M6" s="94"/>
      <c r="O6" s="103"/>
    </row>
    <row r="7" spans="1:15" x14ac:dyDescent="0.2">
      <c r="B7" s="50" t="s">
        <v>87</v>
      </c>
      <c r="C7" s="50">
        <v>40</v>
      </c>
      <c r="D7" s="55" t="s">
        <v>88</v>
      </c>
      <c r="E7" s="51"/>
      <c r="F7" s="50" t="s">
        <v>87</v>
      </c>
      <c r="G7" s="50">
        <v>30</v>
      </c>
      <c r="H7" s="55" t="s">
        <v>88</v>
      </c>
      <c r="J7" s="50" t="s">
        <v>87</v>
      </c>
      <c r="K7" s="50">
        <v>15</v>
      </c>
      <c r="L7" s="55" t="s">
        <v>88</v>
      </c>
      <c r="M7" s="54"/>
      <c r="N7" s="98" t="s">
        <v>112</v>
      </c>
      <c r="O7" s="103"/>
    </row>
    <row r="8" spans="1:15" x14ac:dyDescent="0.2">
      <c r="B8" s="59" t="s">
        <v>90</v>
      </c>
      <c r="C8" s="60" t="s">
        <v>91</v>
      </c>
      <c r="D8" s="61"/>
      <c r="E8" s="51"/>
      <c r="F8" s="59" t="s">
        <v>90</v>
      </c>
      <c r="G8" s="60" t="s">
        <v>91</v>
      </c>
      <c r="H8" s="57"/>
      <c r="J8" s="59" t="s">
        <v>90</v>
      </c>
      <c r="K8" s="60" t="s">
        <v>91</v>
      </c>
      <c r="L8" s="58"/>
      <c r="M8" s="57"/>
      <c r="O8" s="103"/>
    </row>
    <row r="9" spans="1:15" x14ac:dyDescent="0.2">
      <c r="B9" s="56">
        <v>10</v>
      </c>
      <c r="C9" s="52">
        <f>(B9/100)^2*C$7</f>
        <v>0.40000000000000008</v>
      </c>
      <c r="D9" s="61"/>
      <c r="E9" s="51"/>
      <c r="F9" s="56">
        <v>10</v>
      </c>
      <c r="G9" s="52">
        <f>(F9/100)^2*G$7</f>
        <v>0.30000000000000004</v>
      </c>
      <c r="H9" s="57"/>
      <c r="J9" s="56">
        <v>10</v>
      </c>
      <c r="K9" s="52">
        <f>(J9/100)^2*K$7</f>
        <v>0.15000000000000002</v>
      </c>
      <c r="L9" s="58"/>
      <c r="M9" s="57"/>
      <c r="O9" s="103"/>
    </row>
    <row r="10" spans="1:15" x14ac:dyDescent="0.2">
      <c r="B10" s="56">
        <v>20</v>
      </c>
      <c r="C10" s="52">
        <f>(B10/100)^2*C$7</f>
        <v>1.6000000000000003</v>
      </c>
      <c r="D10" s="92"/>
      <c r="E10" s="51"/>
      <c r="F10" s="56">
        <v>20</v>
      </c>
      <c r="G10" s="52">
        <f>(F10/100)^2*G$7</f>
        <v>1.2000000000000002</v>
      </c>
      <c r="H10" s="57"/>
      <c r="J10" s="56">
        <v>20</v>
      </c>
      <c r="K10" s="52">
        <f>(J10/100)^2*K$7</f>
        <v>0.60000000000000009</v>
      </c>
      <c r="L10" s="58"/>
      <c r="M10" s="57"/>
      <c r="O10" s="103"/>
    </row>
    <row r="11" spans="1:15" x14ac:dyDescent="0.2">
      <c r="B11" s="56">
        <v>30</v>
      </c>
      <c r="C11" s="52">
        <f>(B11/100)^2*C$7</f>
        <v>3.5999999999999996</v>
      </c>
      <c r="D11" s="61"/>
      <c r="E11" s="51"/>
      <c r="F11" s="56">
        <v>30</v>
      </c>
      <c r="G11" s="52">
        <f>(F11/100)^2*G$7</f>
        <v>2.6999999999999997</v>
      </c>
      <c r="H11" s="57"/>
      <c r="J11" s="56">
        <v>30</v>
      </c>
      <c r="K11" s="52">
        <f>(J11/100)^2*K$7</f>
        <v>1.3499999999999999</v>
      </c>
      <c r="L11" s="58"/>
      <c r="M11" s="57"/>
      <c r="O11" s="103"/>
    </row>
    <row r="12" spans="1:15" x14ac:dyDescent="0.2">
      <c r="B12" s="51" t="s">
        <v>154</v>
      </c>
      <c r="C12" s="51"/>
      <c r="D12" s="51"/>
      <c r="E12" s="51"/>
      <c r="F12" s="51"/>
      <c r="G12" s="51"/>
      <c r="H12" s="51"/>
      <c r="J12" s="51"/>
      <c r="K12" s="51"/>
      <c r="L12" s="51"/>
      <c r="M12" s="51"/>
      <c r="O12" s="103"/>
    </row>
    <row r="13" spans="1:15" x14ac:dyDescent="0.2">
      <c r="B13" s="51"/>
      <c r="C13" s="51"/>
      <c r="D13" s="51"/>
      <c r="E13" s="51"/>
      <c r="F13" s="51"/>
      <c r="G13" s="51"/>
      <c r="H13" s="51"/>
      <c r="J13" s="51"/>
      <c r="K13" s="51"/>
      <c r="L13" s="51"/>
      <c r="M13" s="51"/>
      <c r="O13" s="103"/>
    </row>
    <row r="14" spans="1:15" x14ac:dyDescent="0.2">
      <c r="B14" s="90" t="s">
        <v>93</v>
      </c>
      <c r="C14" s="90"/>
      <c r="D14" s="93" t="s">
        <v>99</v>
      </c>
      <c r="E14" s="51"/>
      <c r="F14" s="88" t="s">
        <v>96</v>
      </c>
      <c r="G14" s="88"/>
      <c r="H14" s="95" t="s">
        <v>100</v>
      </c>
      <c r="J14" s="96" t="s">
        <v>102</v>
      </c>
      <c r="K14" s="96"/>
      <c r="L14" s="97" t="s">
        <v>98</v>
      </c>
      <c r="M14" s="94"/>
      <c r="O14" s="103"/>
    </row>
    <row r="15" spans="1:15" x14ac:dyDescent="0.2">
      <c r="B15" s="50" t="s">
        <v>87</v>
      </c>
      <c r="C15" s="50">
        <v>49</v>
      </c>
      <c r="D15" s="90"/>
      <c r="E15" s="51"/>
      <c r="F15" s="50" t="s">
        <v>87</v>
      </c>
      <c r="G15" s="50">
        <v>40</v>
      </c>
      <c r="H15" s="88"/>
      <c r="J15" s="50" t="s">
        <v>87</v>
      </c>
      <c r="K15" s="50">
        <v>18</v>
      </c>
      <c r="L15" s="96"/>
      <c r="M15" s="94"/>
      <c r="O15" s="103"/>
    </row>
    <row r="16" spans="1:15" x14ac:dyDescent="0.2">
      <c r="B16" s="59" t="s">
        <v>90</v>
      </c>
      <c r="C16" s="60" t="s">
        <v>91</v>
      </c>
      <c r="D16" s="61"/>
      <c r="E16" s="51"/>
      <c r="F16" s="59" t="s">
        <v>90</v>
      </c>
      <c r="G16" s="60" t="s">
        <v>91</v>
      </c>
      <c r="H16" s="57"/>
      <c r="J16" s="59" t="s">
        <v>90</v>
      </c>
      <c r="K16" s="60" t="s">
        <v>91</v>
      </c>
      <c r="L16" s="58"/>
      <c r="M16" s="57"/>
      <c r="O16" s="103"/>
    </row>
    <row r="17" spans="2:15" x14ac:dyDescent="0.2">
      <c r="B17" s="56">
        <v>10</v>
      </c>
      <c r="C17" s="53">
        <f>(B17/100)^2*C$15</f>
        <v>0.4900000000000001</v>
      </c>
      <c r="D17" s="61"/>
      <c r="E17" s="51"/>
      <c r="F17" s="56">
        <v>10</v>
      </c>
      <c r="G17" s="52">
        <f>(F17/100)^2*G$15</f>
        <v>0.40000000000000008</v>
      </c>
      <c r="H17" s="57"/>
      <c r="J17" s="56">
        <v>10</v>
      </c>
      <c r="K17" s="52">
        <f>(J17/100)^2*K$15</f>
        <v>0.18000000000000005</v>
      </c>
      <c r="L17" s="58"/>
      <c r="M17" s="57"/>
      <c r="O17" s="103"/>
    </row>
    <row r="18" spans="2:15" x14ac:dyDescent="0.2">
      <c r="B18" s="56">
        <v>20</v>
      </c>
      <c r="C18" s="53">
        <f>(B18/100)^2*C$15</f>
        <v>1.9600000000000004</v>
      </c>
      <c r="D18" s="92"/>
      <c r="E18" s="51"/>
      <c r="F18" s="56">
        <v>20</v>
      </c>
      <c r="G18" s="52">
        <f>(F18/100)^2*G$15</f>
        <v>1.6000000000000003</v>
      </c>
      <c r="H18" s="57"/>
      <c r="J18" s="56">
        <v>20</v>
      </c>
      <c r="K18" s="52">
        <f>(J18/100)^2*K$15</f>
        <v>0.7200000000000002</v>
      </c>
      <c r="L18" s="58"/>
      <c r="M18" s="57"/>
      <c r="O18" s="103"/>
    </row>
    <row r="19" spans="2:15" x14ac:dyDescent="0.2">
      <c r="B19" s="56">
        <v>30</v>
      </c>
      <c r="C19" s="53">
        <f>(B19/100)^2*C$15</f>
        <v>4.41</v>
      </c>
      <c r="D19" s="61"/>
      <c r="E19" s="51"/>
      <c r="F19" s="56">
        <v>30</v>
      </c>
      <c r="G19" s="52">
        <f>(F19/100)^2*G$15</f>
        <v>3.5999999999999996</v>
      </c>
      <c r="H19" s="57"/>
      <c r="J19" s="56">
        <v>30</v>
      </c>
      <c r="K19" s="52">
        <f>(J19/100)^2*K$15</f>
        <v>1.6199999999999999</v>
      </c>
      <c r="L19" s="58"/>
      <c r="M19" s="57"/>
      <c r="O19" s="103"/>
    </row>
    <row r="20" spans="2:15" x14ac:dyDescent="0.2">
      <c r="B20" s="51" t="s">
        <v>153</v>
      </c>
      <c r="C20" s="51"/>
      <c r="D20" s="51"/>
      <c r="E20" s="51"/>
      <c r="F20" s="51"/>
      <c r="G20" s="51"/>
      <c r="H20" s="51"/>
      <c r="J20" s="51"/>
      <c r="K20" s="51"/>
      <c r="L20" s="51"/>
      <c r="M20" s="51"/>
      <c r="O20" s="103"/>
    </row>
    <row r="21" spans="2:15" x14ac:dyDescent="0.2">
      <c r="B21" s="51"/>
      <c r="C21" s="51"/>
      <c r="D21" s="51"/>
      <c r="E21" s="51"/>
      <c r="F21" s="51"/>
      <c r="G21" s="51"/>
      <c r="H21" s="51"/>
      <c r="J21" s="51"/>
      <c r="K21" s="51"/>
      <c r="L21" s="51"/>
      <c r="M21" s="51"/>
      <c r="O21" s="103"/>
    </row>
    <row r="22" spans="2:15" x14ac:dyDescent="0.2">
      <c r="B22" s="90" t="s">
        <v>94</v>
      </c>
      <c r="C22" s="90"/>
      <c r="D22" s="93" t="s">
        <v>99</v>
      </c>
      <c r="E22" s="51"/>
      <c r="F22" s="88" t="s">
        <v>97</v>
      </c>
      <c r="G22" s="88"/>
      <c r="H22" s="95" t="s">
        <v>100</v>
      </c>
      <c r="J22" s="96" t="s">
        <v>103</v>
      </c>
      <c r="K22" s="96"/>
      <c r="L22" s="97" t="s">
        <v>98</v>
      </c>
      <c r="M22" s="94"/>
      <c r="O22" s="103"/>
    </row>
    <row r="23" spans="2:15" x14ac:dyDescent="0.2">
      <c r="B23" s="50" t="s">
        <v>87</v>
      </c>
      <c r="C23" s="50">
        <v>135</v>
      </c>
      <c r="D23" s="90"/>
      <c r="E23" s="51"/>
      <c r="F23" s="50" t="s">
        <v>87</v>
      </c>
      <c r="G23" s="50">
        <v>116</v>
      </c>
      <c r="H23" s="88"/>
      <c r="J23" s="50" t="s">
        <v>87</v>
      </c>
      <c r="K23" s="50">
        <v>21</v>
      </c>
      <c r="L23" s="96"/>
      <c r="M23" s="94"/>
      <c r="O23" s="103"/>
    </row>
    <row r="24" spans="2:15" x14ac:dyDescent="0.2">
      <c r="B24" s="59" t="s">
        <v>90</v>
      </c>
      <c r="C24" s="60" t="s">
        <v>91</v>
      </c>
      <c r="D24" s="61"/>
      <c r="E24" s="51"/>
      <c r="F24" s="59" t="s">
        <v>90</v>
      </c>
      <c r="G24" s="60" t="s">
        <v>91</v>
      </c>
      <c r="H24" s="57"/>
      <c r="J24" s="59" t="s">
        <v>90</v>
      </c>
      <c r="K24" s="60" t="s">
        <v>91</v>
      </c>
      <c r="L24" s="58"/>
      <c r="M24" s="57"/>
      <c r="O24" s="103"/>
    </row>
    <row r="25" spans="2:15" x14ac:dyDescent="0.2">
      <c r="B25" s="56">
        <v>10</v>
      </c>
      <c r="C25" s="52">
        <f>(B25/100)^2*C$23</f>
        <v>1.3500000000000003</v>
      </c>
      <c r="D25" s="61"/>
      <c r="E25" s="51"/>
      <c r="F25" s="56">
        <v>10</v>
      </c>
      <c r="G25" s="53">
        <f>(F25/100)^2*G$23</f>
        <v>1.1600000000000001</v>
      </c>
      <c r="H25" s="57"/>
      <c r="J25" s="56">
        <v>10</v>
      </c>
      <c r="K25" s="53">
        <f>(J25/100)^2*K$23</f>
        <v>0.21000000000000005</v>
      </c>
      <c r="L25" s="58"/>
      <c r="M25" s="57"/>
      <c r="O25" s="103"/>
    </row>
    <row r="26" spans="2:15" x14ac:dyDescent="0.2">
      <c r="B26" s="56">
        <v>20</v>
      </c>
      <c r="C26" s="52">
        <f>(B26/100)^2*C$23</f>
        <v>5.4000000000000012</v>
      </c>
      <c r="D26" s="92"/>
      <c r="E26" s="51"/>
      <c r="F26" s="56">
        <v>20</v>
      </c>
      <c r="G26" s="53">
        <f>(F26/100)^2*G$23</f>
        <v>4.6400000000000006</v>
      </c>
      <c r="H26" s="57"/>
      <c r="J26" s="56">
        <v>20</v>
      </c>
      <c r="K26" s="53">
        <f>(J26/100)^2*K$23</f>
        <v>0.84000000000000019</v>
      </c>
      <c r="L26" s="58"/>
      <c r="M26" s="57"/>
      <c r="O26" s="103"/>
    </row>
    <row r="27" spans="2:15" x14ac:dyDescent="0.2">
      <c r="B27" s="56">
        <v>30</v>
      </c>
      <c r="C27" s="52">
        <f>(B27/100)^2*C$23</f>
        <v>12.15</v>
      </c>
      <c r="D27" s="61"/>
      <c r="E27" s="51"/>
      <c r="F27" s="56">
        <v>30</v>
      </c>
      <c r="G27" s="53">
        <f>(F27/100)^2*G$23</f>
        <v>10.44</v>
      </c>
      <c r="H27" s="57"/>
      <c r="J27" s="56">
        <v>30</v>
      </c>
      <c r="K27" s="53">
        <f>(J27/100)^2*K$23</f>
        <v>1.89</v>
      </c>
      <c r="L27" s="58"/>
      <c r="M27" s="57"/>
      <c r="O27" s="103"/>
    </row>
    <row r="28" spans="2:15" x14ac:dyDescent="0.2">
      <c r="O28" s="103"/>
    </row>
    <row r="29" spans="2:15" x14ac:dyDescent="0.2">
      <c r="B29" s="90" t="s">
        <v>160</v>
      </c>
      <c r="C29" s="90"/>
      <c r="D29" s="93" t="s">
        <v>99</v>
      </c>
      <c r="O29" s="103"/>
    </row>
    <row r="30" spans="2:15" x14ac:dyDescent="0.2">
      <c r="B30" s="50" t="s">
        <v>87</v>
      </c>
      <c r="C30" s="50">
        <v>228</v>
      </c>
      <c r="D30" s="90"/>
      <c r="O30" s="103"/>
    </row>
    <row r="31" spans="2:15" x14ac:dyDescent="0.2">
      <c r="B31" s="59" t="s">
        <v>90</v>
      </c>
      <c r="C31" s="60" t="s">
        <v>91</v>
      </c>
      <c r="D31" s="61"/>
      <c r="O31" s="103"/>
    </row>
    <row r="32" spans="2:15" x14ac:dyDescent="0.2">
      <c r="B32" s="56">
        <v>10</v>
      </c>
      <c r="C32" s="52">
        <f>(B32/100)^2*C$30</f>
        <v>2.2800000000000002</v>
      </c>
      <c r="D32" s="61"/>
      <c r="O32" s="103"/>
    </row>
    <row r="33" spans="1:15" x14ac:dyDescent="0.2">
      <c r="B33" s="56">
        <v>20</v>
      </c>
      <c r="C33" s="52">
        <f>(B33/100)^2*C$30</f>
        <v>9.120000000000001</v>
      </c>
      <c r="D33" s="92"/>
      <c r="O33" s="103"/>
    </row>
    <row r="34" spans="1:15" x14ac:dyDescent="0.2">
      <c r="B34" s="56">
        <v>30</v>
      </c>
      <c r="C34" s="52">
        <f>(B34/100)^2*C$30</f>
        <v>20.52</v>
      </c>
      <c r="D34" s="61"/>
      <c r="O34" s="103"/>
    </row>
    <row r="35" spans="1:15" x14ac:dyDescent="0.2">
      <c r="O35" s="103"/>
    </row>
    <row r="36" spans="1:15" x14ac:dyDescent="0.2">
      <c r="O36" s="103"/>
    </row>
    <row r="37" spans="1:15" x14ac:dyDescent="0.2">
      <c r="A37" s="103"/>
      <c r="B37" s="102">
        <v>42633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C104" sqref="C104"/>
    </sheetView>
  </sheetViews>
  <sheetFormatPr defaultRowHeight="12.75" x14ac:dyDescent="0.2"/>
  <cols>
    <col min="1" max="2" width="9.140625" style="1"/>
    <col min="3" max="3" width="25.7109375" style="1" customWidth="1"/>
    <col min="4" max="5" width="9.140625" style="1"/>
    <col min="6" max="6" width="10.5703125" style="1" customWidth="1"/>
    <col min="7" max="7" width="9.140625" style="1"/>
    <col min="8" max="8" width="9.5703125" style="1" customWidth="1"/>
    <col min="9" max="9" width="9.140625" style="1"/>
    <col min="10" max="10" width="8.7109375" style="1" customWidth="1"/>
    <col min="11" max="13" width="9.140625" style="1"/>
    <col min="14" max="14" width="2.5703125" style="1" customWidth="1"/>
    <col min="15" max="16384" width="9.140625" style="1"/>
  </cols>
  <sheetData>
    <row r="1" spans="1:14" ht="15.75" x14ac:dyDescent="0.25">
      <c r="A1" s="14"/>
      <c r="B1" s="15" t="s">
        <v>12</v>
      </c>
      <c r="C1" s="14"/>
      <c r="D1" s="14"/>
      <c r="E1" s="14"/>
      <c r="F1" s="14"/>
      <c r="G1" s="14"/>
      <c r="H1" s="14"/>
      <c r="I1" s="28"/>
      <c r="J1" s="14"/>
      <c r="K1" s="28" t="s">
        <v>9</v>
      </c>
      <c r="L1" s="14"/>
      <c r="M1" s="14"/>
      <c r="N1" s="14"/>
    </row>
    <row r="2" spans="1:14" ht="15.75" x14ac:dyDescent="0.25">
      <c r="B2" s="107" t="s">
        <v>104</v>
      </c>
      <c r="C2" s="108"/>
      <c r="D2" s="108"/>
      <c r="E2" s="108"/>
      <c r="G2" s="5" t="s">
        <v>17</v>
      </c>
      <c r="H2" s="4" t="s">
        <v>18</v>
      </c>
      <c r="N2" s="103"/>
    </row>
    <row r="3" spans="1:14" s="62" customFormat="1" x14ac:dyDescent="0.2">
      <c r="B3" s="109" t="s">
        <v>170</v>
      </c>
      <c r="C3" s="109"/>
      <c r="D3" s="109"/>
      <c r="E3" s="109"/>
      <c r="N3" s="106"/>
    </row>
    <row r="4" spans="1:14" s="62" customFormat="1" x14ac:dyDescent="0.2">
      <c r="B4" s="109" t="s">
        <v>171</v>
      </c>
      <c r="C4" s="109"/>
      <c r="D4" s="109"/>
      <c r="E4" s="109"/>
      <c r="N4" s="106"/>
    </row>
    <row r="5" spans="1:14" x14ac:dyDescent="0.2">
      <c r="B5" s="41"/>
      <c r="C5" s="62"/>
      <c r="D5" s="62"/>
      <c r="E5" s="62"/>
      <c r="F5" s="62"/>
      <c r="G5" s="62"/>
      <c r="H5" s="62"/>
      <c r="I5" s="62"/>
      <c r="J5" s="62"/>
      <c r="K5" s="62"/>
      <c r="L5" s="62"/>
      <c r="N5" s="103"/>
    </row>
    <row r="6" spans="1:14" x14ac:dyDescent="0.2">
      <c r="B6" s="61"/>
      <c r="C6" s="60" t="s">
        <v>105</v>
      </c>
      <c r="D6" s="69">
        <v>30</v>
      </c>
      <c r="E6" s="60" t="s">
        <v>106</v>
      </c>
      <c r="F6" s="87" t="s">
        <v>107</v>
      </c>
      <c r="G6" s="59"/>
      <c r="H6" s="60"/>
      <c r="I6" s="60"/>
      <c r="J6" s="62"/>
      <c r="K6" s="62"/>
      <c r="L6" s="62"/>
      <c r="N6" s="103"/>
    </row>
    <row r="7" spans="1:14" x14ac:dyDescent="0.2">
      <c r="B7" s="90" t="s">
        <v>108</v>
      </c>
      <c r="C7" s="64" t="s">
        <v>109</v>
      </c>
      <c r="D7" s="64">
        <v>7.0000000000000007E-2</v>
      </c>
      <c r="E7" s="64"/>
      <c r="F7" s="65" t="s">
        <v>110</v>
      </c>
      <c r="G7" s="64">
        <v>40</v>
      </c>
      <c r="H7" s="64" t="s">
        <v>111</v>
      </c>
      <c r="I7" s="64"/>
      <c r="J7" s="63" t="s">
        <v>112</v>
      </c>
      <c r="K7" s="62"/>
      <c r="L7" s="62"/>
      <c r="N7" s="103"/>
    </row>
    <row r="8" spans="1:14" x14ac:dyDescent="0.2">
      <c r="B8" s="61"/>
      <c r="C8" s="60" t="s">
        <v>113</v>
      </c>
      <c r="D8" s="69">
        <v>18</v>
      </c>
      <c r="E8" s="59" t="s">
        <v>114</v>
      </c>
      <c r="F8" s="66" t="s">
        <v>115</v>
      </c>
      <c r="G8" s="68">
        <v>3.3</v>
      </c>
      <c r="H8" s="71">
        <f>SQRT(G8/G7)*100</f>
        <v>28.722813232690143</v>
      </c>
      <c r="I8" s="67" t="s">
        <v>116</v>
      </c>
      <c r="J8" s="62"/>
      <c r="K8" s="62"/>
      <c r="L8" s="62"/>
      <c r="N8" s="103"/>
    </row>
    <row r="9" spans="1:14" x14ac:dyDescent="0.2">
      <c r="B9" s="61"/>
      <c r="C9" s="60" t="s">
        <v>117</v>
      </c>
      <c r="D9" s="69">
        <v>14</v>
      </c>
      <c r="E9" s="60" t="s">
        <v>118</v>
      </c>
      <c r="F9" s="60"/>
      <c r="G9" s="60"/>
      <c r="H9" s="60"/>
      <c r="I9" s="60"/>
      <c r="J9" s="62"/>
      <c r="K9" s="62"/>
      <c r="L9" s="62"/>
      <c r="N9" s="103"/>
    </row>
    <row r="10" spans="1:14" x14ac:dyDescent="0.2">
      <c r="B10" s="91"/>
      <c r="C10" s="67" t="s">
        <v>119</v>
      </c>
      <c r="D10" s="70">
        <f>D6*100/4.44/D7/D8/D9</f>
        <v>38.303609732181151</v>
      </c>
      <c r="E10" s="67" t="s">
        <v>120</v>
      </c>
      <c r="F10" s="67" t="s">
        <v>135</v>
      </c>
      <c r="G10" s="67"/>
      <c r="H10" s="67"/>
      <c r="I10" s="67"/>
      <c r="J10" s="62"/>
      <c r="K10" s="62"/>
      <c r="L10" s="62"/>
      <c r="N10" s="103"/>
    </row>
    <row r="11" spans="1:14" x14ac:dyDescent="0.2">
      <c r="B11" s="61"/>
      <c r="C11" s="60" t="s">
        <v>136</v>
      </c>
      <c r="D11" s="73"/>
      <c r="E11" s="60"/>
      <c r="F11" s="60"/>
      <c r="G11" s="60"/>
      <c r="H11" s="60"/>
      <c r="I11" s="60"/>
      <c r="J11" s="62"/>
      <c r="K11" s="62"/>
      <c r="L11" s="62"/>
      <c r="N11" s="103"/>
    </row>
    <row r="12" spans="1:14" x14ac:dyDescent="0.2">
      <c r="B12" s="41"/>
      <c r="C12" s="62"/>
      <c r="D12" s="62"/>
      <c r="E12" s="62"/>
      <c r="F12" s="62"/>
      <c r="G12" s="62"/>
      <c r="H12" s="62"/>
      <c r="I12" s="62"/>
      <c r="J12" s="62"/>
      <c r="K12" s="41" t="s">
        <v>121</v>
      </c>
      <c r="L12" s="62"/>
      <c r="N12" s="103"/>
    </row>
    <row r="13" spans="1:14" x14ac:dyDescent="0.2">
      <c r="B13" s="61"/>
      <c r="C13" s="60" t="s">
        <v>105</v>
      </c>
      <c r="D13" s="69">
        <v>35</v>
      </c>
      <c r="E13" s="60" t="s">
        <v>106</v>
      </c>
      <c r="F13" s="87" t="s">
        <v>107</v>
      </c>
      <c r="G13" s="59"/>
      <c r="H13" s="60"/>
      <c r="I13" s="60"/>
      <c r="J13" s="62"/>
      <c r="K13" s="85" t="s">
        <v>122</v>
      </c>
      <c r="L13" s="85" t="s">
        <v>123</v>
      </c>
      <c r="N13" s="103"/>
    </row>
    <row r="14" spans="1:14" x14ac:dyDescent="0.2">
      <c r="B14" s="90" t="s">
        <v>124</v>
      </c>
      <c r="C14" s="64" t="s">
        <v>109</v>
      </c>
      <c r="D14" s="64">
        <v>0.107</v>
      </c>
      <c r="E14" s="64"/>
      <c r="F14" s="65" t="s">
        <v>110</v>
      </c>
      <c r="G14" s="64">
        <v>52</v>
      </c>
      <c r="H14" s="64" t="s">
        <v>111</v>
      </c>
      <c r="I14" s="64"/>
      <c r="J14" s="62"/>
      <c r="K14" s="86">
        <v>1.8</v>
      </c>
      <c r="L14" s="86">
        <v>120</v>
      </c>
      <c r="N14" s="103"/>
    </row>
    <row r="15" spans="1:14" x14ac:dyDescent="0.2">
      <c r="B15" s="61"/>
      <c r="C15" s="60" t="s">
        <v>113</v>
      </c>
      <c r="D15" s="69">
        <v>24</v>
      </c>
      <c r="E15" s="59" t="s">
        <v>114</v>
      </c>
      <c r="F15" s="66" t="s">
        <v>115</v>
      </c>
      <c r="G15" s="68">
        <v>3.2</v>
      </c>
      <c r="H15" s="71">
        <f>SQRT(G15/G14)*100</f>
        <v>24.806946917841692</v>
      </c>
      <c r="I15" s="67" t="s">
        <v>116</v>
      </c>
      <c r="J15" s="62"/>
      <c r="K15" s="59">
        <v>3.5</v>
      </c>
      <c r="L15" s="59">
        <v>90</v>
      </c>
      <c r="N15" s="103"/>
    </row>
    <row r="16" spans="1:14" x14ac:dyDescent="0.2">
      <c r="B16" s="61"/>
      <c r="C16" s="60" t="s">
        <v>117</v>
      </c>
      <c r="D16" s="69">
        <v>3.8</v>
      </c>
      <c r="E16" s="60" t="s">
        <v>118</v>
      </c>
      <c r="F16" s="60"/>
      <c r="G16" s="60"/>
      <c r="H16" s="60"/>
      <c r="I16" s="60"/>
      <c r="J16" s="62"/>
      <c r="K16" s="59">
        <v>3.8</v>
      </c>
      <c r="L16" s="59">
        <v>85</v>
      </c>
      <c r="N16" s="103"/>
    </row>
    <row r="17" spans="2:14" x14ac:dyDescent="0.2">
      <c r="B17" s="61"/>
      <c r="C17" s="60" t="s">
        <v>119</v>
      </c>
      <c r="D17" s="72">
        <f>D13*100/4.44/D14/D15/D16</f>
        <v>80.780485355005766</v>
      </c>
      <c r="E17" s="60" t="s">
        <v>120</v>
      </c>
      <c r="F17" s="60"/>
      <c r="G17" s="60"/>
      <c r="H17" s="60"/>
      <c r="I17" s="60"/>
      <c r="J17" s="62"/>
      <c r="K17" s="59">
        <v>7</v>
      </c>
      <c r="L17" s="59">
        <v>57</v>
      </c>
      <c r="N17" s="103"/>
    </row>
    <row r="18" spans="2:14" x14ac:dyDescent="0.2">
      <c r="B18" s="41"/>
      <c r="C18" s="62"/>
      <c r="D18" s="62"/>
      <c r="E18" s="62"/>
      <c r="F18" s="62"/>
      <c r="G18" s="62"/>
      <c r="H18" s="62"/>
      <c r="I18" s="62"/>
      <c r="J18" s="62"/>
      <c r="K18" s="59">
        <v>14</v>
      </c>
      <c r="L18" s="59">
        <v>42</v>
      </c>
      <c r="N18" s="103"/>
    </row>
    <row r="19" spans="2:14" x14ac:dyDescent="0.2">
      <c r="B19" s="61"/>
      <c r="C19" s="60" t="s">
        <v>105</v>
      </c>
      <c r="D19" s="69">
        <v>170</v>
      </c>
      <c r="E19" s="60" t="s">
        <v>106</v>
      </c>
      <c r="F19" s="87" t="s">
        <v>107</v>
      </c>
      <c r="G19" s="59"/>
      <c r="H19" s="60"/>
      <c r="I19" s="60"/>
      <c r="J19" s="62"/>
      <c r="K19" s="59">
        <v>21</v>
      </c>
      <c r="L19" s="59">
        <v>36</v>
      </c>
      <c r="N19" s="103"/>
    </row>
    <row r="20" spans="2:14" x14ac:dyDescent="0.2">
      <c r="B20" s="90" t="s">
        <v>125</v>
      </c>
      <c r="C20" s="64" t="s">
        <v>109</v>
      </c>
      <c r="D20" s="64">
        <v>0.121</v>
      </c>
      <c r="E20" s="64"/>
      <c r="F20" s="65" t="s">
        <v>110</v>
      </c>
      <c r="G20" s="64">
        <v>49</v>
      </c>
      <c r="H20" s="64" t="s">
        <v>111</v>
      </c>
      <c r="I20" s="64"/>
      <c r="J20" s="62"/>
      <c r="K20" s="59">
        <v>28</v>
      </c>
      <c r="L20" s="59">
        <v>30</v>
      </c>
      <c r="N20" s="103"/>
    </row>
    <row r="21" spans="2:14" x14ac:dyDescent="0.2">
      <c r="B21" s="61"/>
      <c r="C21" s="60" t="s">
        <v>113</v>
      </c>
      <c r="D21" s="69">
        <v>55</v>
      </c>
      <c r="E21" s="59" t="s">
        <v>114</v>
      </c>
      <c r="F21" s="66" t="s">
        <v>115</v>
      </c>
      <c r="G21" s="68">
        <v>10</v>
      </c>
      <c r="H21" s="71">
        <f>SQRT(G21/G20)*100</f>
        <v>45.175395145262563</v>
      </c>
      <c r="I21" s="67" t="s">
        <v>116</v>
      </c>
      <c r="J21" s="62"/>
      <c r="K21" s="62"/>
      <c r="L21" s="62"/>
      <c r="N21" s="103"/>
    </row>
    <row r="22" spans="2:14" x14ac:dyDescent="0.2">
      <c r="B22" s="61"/>
      <c r="C22" s="60" t="s">
        <v>117</v>
      </c>
      <c r="D22" s="69">
        <v>14</v>
      </c>
      <c r="E22" s="60" t="s">
        <v>118</v>
      </c>
      <c r="F22" s="60"/>
      <c r="G22" s="60"/>
      <c r="H22" s="60"/>
      <c r="I22" s="60"/>
      <c r="J22" s="62"/>
      <c r="K22" s="62"/>
      <c r="L22" s="62"/>
      <c r="N22" s="103"/>
    </row>
    <row r="23" spans="2:14" x14ac:dyDescent="0.2">
      <c r="B23" s="91"/>
      <c r="C23" s="67" t="s">
        <v>119</v>
      </c>
      <c r="D23" s="70">
        <f>D19*100/4.44/D20/D21/D22</f>
        <v>41.095082417396462</v>
      </c>
      <c r="E23" s="67" t="s">
        <v>120</v>
      </c>
      <c r="F23" s="67"/>
      <c r="G23" s="67"/>
      <c r="H23" s="67"/>
      <c r="I23" s="67"/>
      <c r="J23" s="62" t="s">
        <v>168</v>
      </c>
      <c r="K23" s="62"/>
      <c r="L23" s="62"/>
      <c r="N23" s="103"/>
    </row>
    <row r="24" spans="2:14" x14ac:dyDescent="0.2">
      <c r="B24" s="61"/>
      <c r="C24" s="60" t="s">
        <v>137</v>
      </c>
      <c r="D24" s="73"/>
      <c r="E24" s="60"/>
      <c r="F24" s="60"/>
      <c r="G24" s="60"/>
      <c r="H24" s="60"/>
      <c r="I24" s="60"/>
      <c r="J24" s="62"/>
      <c r="K24" s="62"/>
      <c r="L24" s="62"/>
      <c r="N24" s="103"/>
    </row>
    <row r="25" spans="2:14" x14ac:dyDescent="0.2">
      <c r="B25" s="41"/>
      <c r="C25" s="62"/>
      <c r="D25" s="62"/>
      <c r="E25" s="62"/>
      <c r="F25" s="62"/>
      <c r="G25" s="62"/>
      <c r="H25" s="62"/>
      <c r="I25" s="62"/>
      <c r="J25" s="62"/>
      <c r="K25" s="62"/>
      <c r="L25" s="62"/>
      <c r="N25" s="103"/>
    </row>
    <row r="26" spans="2:14" x14ac:dyDescent="0.2">
      <c r="B26" s="61"/>
      <c r="C26" s="60" t="s">
        <v>105</v>
      </c>
      <c r="D26" s="69">
        <v>300</v>
      </c>
      <c r="E26" s="60" t="s">
        <v>106</v>
      </c>
      <c r="F26" s="87" t="s">
        <v>107</v>
      </c>
      <c r="G26" s="59"/>
      <c r="H26" s="60"/>
      <c r="I26" s="60"/>
      <c r="J26" s="62"/>
      <c r="K26" s="62"/>
      <c r="L26" s="62"/>
      <c r="N26" s="103"/>
    </row>
    <row r="27" spans="2:14" x14ac:dyDescent="0.2">
      <c r="B27" s="90" t="s">
        <v>126</v>
      </c>
      <c r="C27" s="64" t="s">
        <v>109</v>
      </c>
      <c r="D27" s="64">
        <v>0.38500000000000001</v>
      </c>
      <c r="E27" s="64"/>
      <c r="F27" s="65" t="s">
        <v>110</v>
      </c>
      <c r="G27" s="64">
        <v>84</v>
      </c>
      <c r="H27" s="64" t="s">
        <v>111</v>
      </c>
      <c r="I27" s="64"/>
      <c r="J27" s="62"/>
      <c r="K27" s="62"/>
      <c r="L27" s="62"/>
      <c r="N27" s="103"/>
    </row>
    <row r="28" spans="2:14" x14ac:dyDescent="0.2">
      <c r="B28" s="61"/>
      <c r="C28" s="60" t="s">
        <v>113</v>
      </c>
      <c r="D28" s="69">
        <v>44</v>
      </c>
      <c r="E28" s="59" t="s">
        <v>114</v>
      </c>
      <c r="F28" s="66" t="s">
        <v>115</v>
      </c>
      <c r="G28" s="68">
        <v>16</v>
      </c>
      <c r="H28" s="71">
        <f>SQRT(G28/G27)*100</f>
        <v>43.643578047198474</v>
      </c>
      <c r="I28" s="67" t="s">
        <v>116</v>
      </c>
      <c r="J28" s="62"/>
      <c r="K28" s="62"/>
      <c r="L28" s="62"/>
      <c r="N28" s="103"/>
    </row>
    <row r="29" spans="2:14" x14ac:dyDescent="0.2">
      <c r="B29" s="61"/>
      <c r="C29" s="60" t="s">
        <v>117</v>
      </c>
      <c r="D29" s="69">
        <v>14</v>
      </c>
      <c r="E29" s="60" t="s">
        <v>118</v>
      </c>
      <c r="F29" s="60"/>
      <c r="G29" s="60"/>
      <c r="H29" s="60"/>
      <c r="I29" s="60"/>
      <c r="J29" s="62"/>
      <c r="K29" s="62"/>
      <c r="L29" s="62"/>
      <c r="N29" s="103"/>
    </row>
    <row r="30" spans="2:14" x14ac:dyDescent="0.2">
      <c r="B30" s="61"/>
      <c r="C30" s="60" t="s">
        <v>119</v>
      </c>
      <c r="D30" s="72">
        <f>D26*100/4.44/D27/D28/D29</f>
        <v>28.490288230547968</v>
      </c>
      <c r="E30" s="60" t="s">
        <v>120</v>
      </c>
      <c r="F30" s="60"/>
      <c r="G30" s="60"/>
      <c r="H30" s="60"/>
      <c r="I30" s="60"/>
      <c r="J30" s="62"/>
      <c r="K30" s="62"/>
      <c r="L30" s="62"/>
      <c r="N30" s="103"/>
    </row>
    <row r="31" spans="2:14" x14ac:dyDescent="0.2">
      <c r="B31" s="41"/>
      <c r="C31" s="62"/>
      <c r="D31" s="62"/>
      <c r="E31" s="62"/>
      <c r="F31" s="62"/>
      <c r="G31" s="62"/>
      <c r="H31" s="62"/>
      <c r="I31" s="62"/>
      <c r="J31" s="62"/>
      <c r="K31" s="62"/>
      <c r="L31" s="62"/>
      <c r="N31" s="103"/>
    </row>
    <row r="32" spans="2:14" x14ac:dyDescent="0.2">
      <c r="B32" s="61"/>
      <c r="C32" s="60" t="s">
        <v>105</v>
      </c>
      <c r="D32" s="69">
        <v>140</v>
      </c>
      <c r="E32" s="60" t="s">
        <v>106</v>
      </c>
      <c r="F32" s="87" t="s">
        <v>107</v>
      </c>
      <c r="G32" s="59"/>
      <c r="H32" s="60"/>
      <c r="I32" s="60"/>
      <c r="J32" s="62"/>
      <c r="K32" s="62"/>
      <c r="L32" s="62"/>
      <c r="N32" s="103"/>
    </row>
    <row r="33" spans="2:14" x14ac:dyDescent="0.2">
      <c r="B33" s="90" t="s">
        <v>127</v>
      </c>
      <c r="C33" s="64" t="s">
        <v>109</v>
      </c>
      <c r="D33" s="64">
        <v>0.69</v>
      </c>
      <c r="E33" s="64"/>
      <c r="F33" s="65" t="s">
        <v>110</v>
      </c>
      <c r="G33" s="64">
        <v>135</v>
      </c>
      <c r="H33" s="64" t="s">
        <v>111</v>
      </c>
      <c r="I33" s="64"/>
      <c r="J33" s="62"/>
      <c r="K33" s="62"/>
      <c r="L33" s="62"/>
      <c r="N33" s="103"/>
    </row>
    <row r="34" spans="2:14" x14ac:dyDescent="0.2">
      <c r="B34" s="61"/>
      <c r="C34" s="60" t="s">
        <v>113</v>
      </c>
      <c r="D34" s="69">
        <v>15</v>
      </c>
      <c r="E34" s="59" t="s">
        <v>114</v>
      </c>
      <c r="F34" s="66" t="s">
        <v>115</v>
      </c>
      <c r="G34" s="68">
        <v>3.18</v>
      </c>
      <c r="H34" s="71">
        <f>SQRT(G34/G33)*100</f>
        <v>15.347819244295119</v>
      </c>
      <c r="I34" s="67" t="s">
        <v>116</v>
      </c>
      <c r="J34" s="62"/>
      <c r="K34" s="62"/>
      <c r="L34" s="62"/>
      <c r="N34" s="103"/>
    </row>
    <row r="35" spans="2:14" x14ac:dyDescent="0.2">
      <c r="B35" s="61"/>
      <c r="C35" s="60" t="s">
        <v>117</v>
      </c>
      <c r="D35" s="69">
        <v>3.5</v>
      </c>
      <c r="E35" s="60" t="s">
        <v>118</v>
      </c>
      <c r="F35" s="60"/>
      <c r="G35" s="60"/>
      <c r="H35" s="60"/>
      <c r="I35" s="60"/>
      <c r="J35" s="62"/>
      <c r="K35" s="62"/>
      <c r="L35" s="62"/>
      <c r="N35" s="103"/>
    </row>
    <row r="36" spans="2:14" x14ac:dyDescent="0.2">
      <c r="B36" s="61"/>
      <c r="C36" s="60" t="s">
        <v>119</v>
      </c>
      <c r="D36" s="72">
        <f>D32*100/4.44/D33/D34/D35</f>
        <v>87.043565304434864</v>
      </c>
      <c r="E36" s="60" t="s">
        <v>120</v>
      </c>
      <c r="F36" s="60"/>
      <c r="G36" s="60"/>
      <c r="H36" s="60"/>
      <c r="I36" s="60"/>
      <c r="J36" s="62"/>
      <c r="K36" s="62"/>
      <c r="L36" s="62"/>
      <c r="N36" s="103"/>
    </row>
    <row r="37" spans="2:14" x14ac:dyDescent="0.2">
      <c r="K37" s="41" t="s">
        <v>121</v>
      </c>
      <c r="L37" s="62"/>
      <c r="N37" s="103"/>
    </row>
    <row r="38" spans="2:14" x14ac:dyDescent="0.2">
      <c r="B38" s="61"/>
      <c r="C38" s="60" t="s">
        <v>105</v>
      </c>
      <c r="D38" s="69">
        <v>130</v>
      </c>
      <c r="E38" s="60" t="s">
        <v>106</v>
      </c>
      <c r="F38" s="87" t="s">
        <v>107</v>
      </c>
      <c r="G38" s="59"/>
      <c r="H38" s="60"/>
      <c r="I38" s="60"/>
      <c r="K38" s="85" t="s">
        <v>122</v>
      </c>
      <c r="L38" s="85" t="s">
        <v>123</v>
      </c>
      <c r="N38" s="103"/>
    </row>
    <row r="39" spans="2:14" x14ac:dyDescent="0.2">
      <c r="B39" s="90" t="s">
        <v>128</v>
      </c>
      <c r="C39" s="64" t="s">
        <v>109</v>
      </c>
      <c r="D39" s="64">
        <v>0.73</v>
      </c>
      <c r="E39" s="64"/>
      <c r="F39" s="65" t="s">
        <v>110</v>
      </c>
      <c r="G39" s="64">
        <v>110</v>
      </c>
      <c r="H39" s="64" t="s">
        <v>111</v>
      </c>
      <c r="I39" s="64"/>
      <c r="J39" s="63"/>
      <c r="K39" s="86">
        <v>1.8</v>
      </c>
      <c r="L39" s="86">
        <v>120</v>
      </c>
      <c r="N39" s="103"/>
    </row>
    <row r="40" spans="2:14" x14ac:dyDescent="0.2">
      <c r="B40" s="61"/>
      <c r="C40" s="60" t="s">
        <v>113</v>
      </c>
      <c r="D40" s="69">
        <v>13</v>
      </c>
      <c r="E40" s="59" t="s">
        <v>114</v>
      </c>
      <c r="F40" s="66" t="s">
        <v>115</v>
      </c>
      <c r="G40" s="68">
        <v>1.92</v>
      </c>
      <c r="H40" s="71">
        <f>SQRT(G40/G39)*100</f>
        <v>13.211565181516328</v>
      </c>
      <c r="I40" s="67" t="s">
        <v>116</v>
      </c>
      <c r="K40" s="59">
        <v>3.5</v>
      </c>
      <c r="L40" s="59">
        <v>90</v>
      </c>
      <c r="N40" s="103"/>
    </row>
    <row r="41" spans="2:14" x14ac:dyDescent="0.2">
      <c r="B41" s="61"/>
      <c r="C41" s="60" t="s">
        <v>117</v>
      </c>
      <c r="D41" s="69">
        <v>3.5</v>
      </c>
      <c r="E41" s="60" t="s">
        <v>118</v>
      </c>
      <c r="F41" s="60"/>
      <c r="G41" s="60"/>
      <c r="H41" s="60"/>
      <c r="I41" s="60"/>
      <c r="K41" s="59">
        <v>3.8</v>
      </c>
      <c r="L41" s="59">
        <v>85</v>
      </c>
      <c r="N41" s="103"/>
    </row>
    <row r="42" spans="2:14" x14ac:dyDescent="0.2">
      <c r="B42" s="61"/>
      <c r="C42" s="60" t="s">
        <v>119</v>
      </c>
      <c r="D42" s="72">
        <f>D38*100/4.44/D39/D40/D41</f>
        <v>88.150773082279926</v>
      </c>
      <c r="E42" s="60" t="s">
        <v>120</v>
      </c>
      <c r="F42" s="60"/>
      <c r="G42" s="60"/>
      <c r="H42" s="60"/>
      <c r="I42" s="60"/>
      <c r="K42" s="59">
        <v>7</v>
      </c>
      <c r="L42" s="59">
        <v>57</v>
      </c>
      <c r="N42" s="103"/>
    </row>
    <row r="43" spans="2:14" x14ac:dyDescent="0.2">
      <c r="K43" s="59">
        <v>14</v>
      </c>
      <c r="L43" s="59">
        <v>42</v>
      </c>
      <c r="N43" s="103"/>
    </row>
    <row r="44" spans="2:14" x14ac:dyDescent="0.2">
      <c r="B44" s="61"/>
      <c r="C44" s="60" t="s">
        <v>105</v>
      </c>
      <c r="D44" s="69">
        <v>300</v>
      </c>
      <c r="E44" s="60" t="s">
        <v>106</v>
      </c>
      <c r="F44" s="87" t="s">
        <v>107</v>
      </c>
      <c r="G44" s="59"/>
      <c r="H44" s="60"/>
      <c r="I44" s="60"/>
      <c r="K44" s="59">
        <v>21</v>
      </c>
      <c r="L44" s="59">
        <v>36</v>
      </c>
      <c r="N44" s="103"/>
    </row>
    <row r="45" spans="2:14" x14ac:dyDescent="0.2">
      <c r="B45" s="90" t="s">
        <v>129</v>
      </c>
      <c r="C45" s="64" t="s">
        <v>109</v>
      </c>
      <c r="D45" s="64">
        <v>1.1399999999999999</v>
      </c>
      <c r="E45" s="64"/>
      <c r="F45" s="65" t="s">
        <v>110</v>
      </c>
      <c r="G45" s="64">
        <v>140</v>
      </c>
      <c r="H45" s="64" t="s">
        <v>111</v>
      </c>
      <c r="I45" s="64"/>
      <c r="J45" s="63"/>
      <c r="K45" s="59">
        <v>28</v>
      </c>
      <c r="L45" s="59">
        <v>30</v>
      </c>
      <c r="N45" s="103"/>
    </row>
    <row r="46" spans="2:14" x14ac:dyDescent="0.2">
      <c r="B46" s="61"/>
      <c r="C46" s="60" t="s">
        <v>113</v>
      </c>
      <c r="D46" s="69">
        <v>54</v>
      </c>
      <c r="E46" s="59" t="s">
        <v>114</v>
      </c>
      <c r="F46" s="66" t="s">
        <v>115</v>
      </c>
      <c r="G46" s="68">
        <v>40</v>
      </c>
      <c r="H46" s="71">
        <f>SQRT(G46/G45)*100</f>
        <v>53.452248382484882</v>
      </c>
      <c r="I46" s="67" t="s">
        <v>116</v>
      </c>
      <c r="N46" s="103"/>
    </row>
    <row r="47" spans="2:14" x14ac:dyDescent="0.2">
      <c r="B47" s="61"/>
      <c r="C47" s="60" t="s">
        <v>117</v>
      </c>
      <c r="D47" s="69">
        <v>1.83</v>
      </c>
      <c r="E47" s="60" t="s">
        <v>118</v>
      </c>
      <c r="F47" s="60"/>
      <c r="G47" s="60"/>
      <c r="H47" s="60"/>
      <c r="I47" s="60"/>
      <c r="N47" s="103"/>
    </row>
    <row r="48" spans="2:14" x14ac:dyDescent="0.2">
      <c r="B48" s="61"/>
      <c r="C48" s="60" t="s">
        <v>119</v>
      </c>
      <c r="D48" s="72">
        <f>D44*100/4.44/D45/D46/D47</f>
        <v>59.977530977435102</v>
      </c>
      <c r="E48" s="60" t="s">
        <v>120</v>
      </c>
      <c r="F48" s="60"/>
      <c r="G48" s="60"/>
      <c r="H48" s="60"/>
      <c r="I48" s="60"/>
      <c r="N48" s="103"/>
    </row>
    <row r="49" spans="2:14" x14ac:dyDescent="0.2">
      <c r="N49" s="103"/>
    </row>
    <row r="50" spans="2:14" x14ac:dyDescent="0.2">
      <c r="B50" s="61"/>
      <c r="C50" s="60" t="s">
        <v>105</v>
      </c>
      <c r="D50" s="69">
        <v>300</v>
      </c>
      <c r="E50" s="60" t="s">
        <v>106</v>
      </c>
      <c r="F50" s="87" t="s">
        <v>107</v>
      </c>
      <c r="G50" s="59"/>
      <c r="H50" s="60"/>
      <c r="I50" s="60"/>
      <c r="N50" s="103"/>
    </row>
    <row r="51" spans="2:14" x14ac:dyDescent="0.2">
      <c r="B51" s="90" t="s">
        <v>163</v>
      </c>
      <c r="C51" s="64" t="s">
        <v>109</v>
      </c>
      <c r="D51" s="64">
        <v>2.2400000000000002</v>
      </c>
      <c r="E51" s="64"/>
      <c r="F51" s="65" t="s">
        <v>110</v>
      </c>
      <c r="G51" s="64">
        <v>218</v>
      </c>
      <c r="H51" s="64" t="s">
        <v>111</v>
      </c>
      <c r="I51" s="64"/>
      <c r="N51" s="103"/>
    </row>
    <row r="52" spans="2:14" x14ac:dyDescent="0.2">
      <c r="B52" s="61"/>
      <c r="C52" s="60" t="s">
        <v>113</v>
      </c>
      <c r="D52" s="69">
        <v>20</v>
      </c>
      <c r="E52" s="59" t="s">
        <v>114</v>
      </c>
      <c r="F52" s="66" t="s">
        <v>115</v>
      </c>
      <c r="G52" s="68">
        <v>40</v>
      </c>
      <c r="H52" s="71">
        <f>SQRT(G52/G51)*100</f>
        <v>42.835293687811941</v>
      </c>
      <c r="I52" s="67" t="s">
        <v>116</v>
      </c>
      <c r="N52" s="103"/>
    </row>
    <row r="53" spans="2:14" x14ac:dyDescent="0.2">
      <c r="B53" s="61"/>
      <c r="C53" s="60" t="s">
        <v>117</v>
      </c>
      <c r="D53" s="69">
        <v>1.83</v>
      </c>
      <c r="E53" s="60" t="s">
        <v>118</v>
      </c>
      <c r="F53" s="60"/>
      <c r="G53" s="60"/>
      <c r="H53" s="60"/>
      <c r="I53" s="60"/>
      <c r="N53" s="103"/>
    </row>
    <row r="54" spans="2:14" x14ac:dyDescent="0.2">
      <c r="B54" s="61"/>
      <c r="C54" s="60" t="s">
        <v>119</v>
      </c>
      <c r="D54" s="72">
        <f>D50*100/4.44/D51/D52/D53</f>
        <v>82.415553727029106</v>
      </c>
      <c r="E54" s="60" t="s">
        <v>120</v>
      </c>
      <c r="F54" s="60"/>
      <c r="G54" s="60"/>
      <c r="H54" s="60"/>
      <c r="I54" s="60"/>
      <c r="N54" s="103"/>
    </row>
    <row r="55" spans="2:14" x14ac:dyDescent="0.2">
      <c r="N55" s="103"/>
    </row>
    <row r="56" spans="2:14" x14ac:dyDescent="0.2">
      <c r="B56" s="61"/>
      <c r="C56" s="60" t="s">
        <v>105</v>
      </c>
      <c r="D56" s="69">
        <v>300</v>
      </c>
      <c r="E56" s="60" t="s">
        <v>106</v>
      </c>
      <c r="F56" s="87" t="s">
        <v>107</v>
      </c>
      <c r="G56" s="59"/>
      <c r="H56" s="60"/>
      <c r="I56" s="60"/>
      <c r="N56" s="103"/>
    </row>
    <row r="57" spans="2:14" x14ac:dyDescent="0.2">
      <c r="B57" s="90" t="s">
        <v>161</v>
      </c>
      <c r="C57" s="64" t="s">
        <v>109</v>
      </c>
      <c r="D57" s="64">
        <v>3.58</v>
      </c>
      <c r="E57" s="64"/>
      <c r="F57" s="65" t="s">
        <v>110</v>
      </c>
      <c r="G57" s="64">
        <v>228</v>
      </c>
      <c r="H57" s="64" t="s">
        <v>111</v>
      </c>
      <c r="I57" s="64"/>
      <c r="N57" s="103"/>
    </row>
    <row r="58" spans="2:14" x14ac:dyDescent="0.2">
      <c r="B58" s="61"/>
      <c r="C58" s="60" t="s">
        <v>113</v>
      </c>
      <c r="D58" s="69">
        <v>42</v>
      </c>
      <c r="E58" s="59" t="s">
        <v>114</v>
      </c>
      <c r="F58" s="66" t="s">
        <v>115</v>
      </c>
      <c r="G58" s="68">
        <v>40</v>
      </c>
      <c r="H58" s="71">
        <f>SQRT(G58/G57)*100</f>
        <v>41.885390829169552</v>
      </c>
      <c r="I58" s="67" t="s">
        <v>116</v>
      </c>
      <c r="N58" s="103"/>
    </row>
    <row r="59" spans="2:14" x14ac:dyDescent="0.2">
      <c r="B59" s="61"/>
      <c r="C59" s="60" t="s">
        <v>117</v>
      </c>
      <c r="D59" s="69">
        <v>1.83</v>
      </c>
      <c r="E59" s="60" t="s">
        <v>118</v>
      </c>
      <c r="F59" s="60"/>
      <c r="G59" s="60"/>
      <c r="H59" s="60"/>
      <c r="I59" s="60"/>
      <c r="N59" s="103"/>
    </row>
    <row r="60" spans="2:14" x14ac:dyDescent="0.2">
      <c r="B60" s="61"/>
      <c r="C60" s="60" t="s">
        <v>119</v>
      </c>
      <c r="D60" s="72">
        <f>D56*100/4.44/D57/D58/D59</f>
        <v>24.555844685893224</v>
      </c>
      <c r="E60" s="60" t="s">
        <v>120</v>
      </c>
      <c r="F60" s="60"/>
      <c r="G60" s="60"/>
      <c r="H60" s="60"/>
      <c r="I60" s="60"/>
      <c r="N60" s="103"/>
    </row>
    <row r="61" spans="2:14" x14ac:dyDescent="0.2">
      <c r="N61" s="103"/>
    </row>
    <row r="62" spans="2:14" x14ac:dyDescent="0.2">
      <c r="B62" s="61"/>
      <c r="C62" s="60" t="s">
        <v>105</v>
      </c>
      <c r="D62" s="69">
        <v>300</v>
      </c>
      <c r="E62" s="60" t="s">
        <v>106</v>
      </c>
      <c r="F62" s="87" t="s">
        <v>107</v>
      </c>
      <c r="G62" s="59"/>
      <c r="H62" s="60"/>
      <c r="I62" s="60"/>
      <c r="K62" s="41" t="s">
        <v>121</v>
      </c>
      <c r="L62" s="62"/>
      <c r="N62" s="103"/>
    </row>
    <row r="63" spans="2:14" x14ac:dyDescent="0.2">
      <c r="B63" s="90" t="s">
        <v>162</v>
      </c>
      <c r="C63" s="64" t="s">
        <v>109</v>
      </c>
      <c r="D63" s="64">
        <v>7.4320000000000004</v>
      </c>
      <c r="E63" s="64"/>
      <c r="F63" s="65" t="s">
        <v>110</v>
      </c>
      <c r="G63" s="64">
        <v>360</v>
      </c>
      <c r="H63" s="64" t="s">
        <v>111</v>
      </c>
      <c r="I63" s="64"/>
      <c r="K63" s="85" t="s">
        <v>122</v>
      </c>
      <c r="L63" s="85" t="s">
        <v>123</v>
      </c>
      <c r="N63" s="103"/>
    </row>
    <row r="64" spans="2:14" x14ac:dyDescent="0.2">
      <c r="B64" s="61"/>
      <c r="C64" s="60" t="s">
        <v>113</v>
      </c>
      <c r="D64" s="69">
        <v>32</v>
      </c>
      <c r="E64" s="59" t="s">
        <v>114</v>
      </c>
      <c r="F64" s="66" t="s">
        <v>115</v>
      </c>
      <c r="G64" s="68">
        <v>40</v>
      </c>
      <c r="H64" s="71">
        <f>SQRT(G64/G63)*100</f>
        <v>33.333333333333329</v>
      </c>
      <c r="I64" s="67" t="s">
        <v>116</v>
      </c>
      <c r="K64" s="86">
        <v>1.8</v>
      </c>
      <c r="L64" s="86">
        <v>120</v>
      </c>
      <c r="N64" s="103"/>
    </row>
    <row r="65" spans="2:14" x14ac:dyDescent="0.2">
      <c r="B65" s="61"/>
      <c r="C65" s="60" t="s">
        <v>117</v>
      </c>
      <c r="D65" s="69">
        <v>1.83</v>
      </c>
      <c r="E65" s="60" t="s">
        <v>118</v>
      </c>
      <c r="F65" s="60"/>
      <c r="G65" s="60"/>
      <c r="H65" s="60"/>
      <c r="I65" s="60"/>
      <c r="K65" s="59">
        <v>3.5</v>
      </c>
      <c r="L65" s="59">
        <v>90</v>
      </c>
      <c r="N65" s="103"/>
    </row>
    <row r="66" spans="2:14" x14ac:dyDescent="0.2">
      <c r="B66" s="61"/>
      <c r="C66" s="60" t="s">
        <v>119</v>
      </c>
      <c r="D66" s="72">
        <f>D62*100/4.44/D63/D64/D65</f>
        <v>15.524996665479112</v>
      </c>
      <c r="E66" s="60" t="s">
        <v>120</v>
      </c>
      <c r="F66" s="60"/>
      <c r="G66" s="60"/>
      <c r="H66" s="60"/>
      <c r="I66" s="60"/>
      <c r="K66" s="59">
        <v>3.8</v>
      </c>
      <c r="L66" s="59">
        <v>85</v>
      </c>
      <c r="N66" s="103"/>
    </row>
    <row r="67" spans="2:14" x14ac:dyDescent="0.2">
      <c r="K67" s="59">
        <v>7</v>
      </c>
      <c r="L67" s="59">
        <v>57</v>
      </c>
      <c r="N67" s="103"/>
    </row>
    <row r="68" spans="2:14" x14ac:dyDescent="0.2">
      <c r="K68" s="59">
        <v>14</v>
      </c>
      <c r="L68" s="59">
        <v>42</v>
      </c>
      <c r="N68" s="103"/>
    </row>
    <row r="69" spans="2:14" x14ac:dyDescent="0.2">
      <c r="B69" s="57"/>
      <c r="C69" s="60" t="s">
        <v>105</v>
      </c>
      <c r="D69" s="69">
        <v>30</v>
      </c>
      <c r="E69" s="60" t="s">
        <v>106</v>
      </c>
      <c r="F69" s="87" t="s">
        <v>107</v>
      </c>
      <c r="G69" s="59"/>
      <c r="H69" s="60"/>
      <c r="I69" s="60"/>
      <c r="K69" s="59">
        <v>21</v>
      </c>
      <c r="L69" s="59">
        <v>36</v>
      </c>
      <c r="N69" s="103"/>
    </row>
    <row r="70" spans="2:14" x14ac:dyDescent="0.2">
      <c r="B70" s="88" t="s">
        <v>131</v>
      </c>
      <c r="C70" s="64" t="s">
        <v>109</v>
      </c>
      <c r="D70" s="64">
        <v>7.0000000000000007E-2</v>
      </c>
      <c r="E70" s="64"/>
      <c r="F70" s="65" t="s">
        <v>110</v>
      </c>
      <c r="G70" s="64">
        <v>30</v>
      </c>
      <c r="H70" s="64" t="s">
        <v>111</v>
      </c>
      <c r="I70" s="64"/>
      <c r="K70" s="59">
        <v>28</v>
      </c>
      <c r="L70" s="59">
        <v>30</v>
      </c>
      <c r="N70" s="103"/>
    </row>
    <row r="71" spans="2:14" x14ac:dyDescent="0.2">
      <c r="B71" s="57"/>
      <c r="C71" s="60" t="s">
        <v>113</v>
      </c>
      <c r="D71" s="69">
        <v>18</v>
      </c>
      <c r="E71" s="59" t="s">
        <v>114</v>
      </c>
      <c r="F71" s="66" t="s">
        <v>115</v>
      </c>
      <c r="G71" s="68">
        <v>3</v>
      </c>
      <c r="H71" s="71">
        <f>SQRT(G71/G70)*100</f>
        <v>31.622776601683793</v>
      </c>
      <c r="I71" s="67" t="s">
        <v>116</v>
      </c>
      <c r="N71" s="103"/>
    </row>
    <row r="72" spans="2:14" x14ac:dyDescent="0.2">
      <c r="B72" s="57"/>
      <c r="C72" s="60" t="s">
        <v>117</v>
      </c>
      <c r="D72" s="69">
        <v>14</v>
      </c>
      <c r="E72" s="60" t="s">
        <v>118</v>
      </c>
      <c r="F72" s="60"/>
      <c r="G72" s="60"/>
      <c r="H72" s="60"/>
      <c r="I72" s="60"/>
      <c r="N72" s="103"/>
    </row>
    <row r="73" spans="2:14" x14ac:dyDescent="0.2">
      <c r="B73" s="57"/>
      <c r="C73" s="60" t="s">
        <v>119</v>
      </c>
      <c r="D73" s="72">
        <f>D69*100/4.44/D70/D71/D72</f>
        <v>38.303609732181151</v>
      </c>
      <c r="E73" s="60" t="s">
        <v>120</v>
      </c>
      <c r="F73" s="60" t="s">
        <v>130</v>
      </c>
      <c r="G73" s="60"/>
      <c r="H73" s="60"/>
      <c r="I73" s="60"/>
      <c r="N73" s="103"/>
    </row>
    <row r="74" spans="2:14" x14ac:dyDescent="0.2">
      <c r="B74" s="57"/>
      <c r="C74" s="60" t="s">
        <v>139</v>
      </c>
      <c r="D74" s="73"/>
      <c r="E74" s="60"/>
      <c r="F74" s="60"/>
      <c r="G74" s="60"/>
      <c r="H74" s="60"/>
      <c r="I74" s="60"/>
      <c r="N74" s="103"/>
    </row>
    <row r="75" spans="2:14" x14ac:dyDescent="0.2">
      <c r="N75" s="103"/>
    </row>
    <row r="76" spans="2:14" x14ac:dyDescent="0.2">
      <c r="B76" s="57"/>
      <c r="C76" s="60" t="s">
        <v>105</v>
      </c>
      <c r="D76" s="69">
        <v>30</v>
      </c>
      <c r="E76" s="60" t="s">
        <v>106</v>
      </c>
      <c r="F76" s="87" t="s">
        <v>107</v>
      </c>
      <c r="G76" s="59"/>
      <c r="H76" s="60"/>
      <c r="I76" s="60"/>
      <c r="N76" s="103"/>
    </row>
    <row r="77" spans="2:14" x14ac:dyDescent="0.2">
      <c r="B77" s="88" t="s">
        <v>132</v>
      </c>
      <c r="C77" s="64" t="s">
        <v>109</v>
      </c>
      <c r="D77" s="64">
        <v>0.121</v>
      </c>
      <c r="E77" s="64"/>
      <c r="F77" s="65" t="s">
        <v>110</v>
      </c>
      <c r="G77" s="64">
        <v>40</v>
      </c>
      <c r="H77" s="64" t="s">
        <v>111</v>
      </c>
      <c r="I77" s="64"/>
      <c r="N77" s="103"/>
    </row>
    <row r="78" spans="2:14" x14ac:dyDescent="0.2">
      <c r="B78" s="57"/>
      <c r="C78" s="60" t="s">
        <v>113</v>
      </c>
      <c r="D78" s="69">
        <v>10</v>
      </c>
      <c r="E78" s="59" t="s">
        <v>114</v>
      </c>
      <c r="F78" s="66" t="s">
        <v>115</v>
      </c>
      <c r="G78" s="68">
        <v>8</v>
      </c>
      <c r="H78" s="71">
        <f>SQRT(G78/G77)*100</f>
        <v>44.721359549995796</v>
      </c>
      <c r="I78" s="67" t="s">
        <v>116</v>
      </c>
      <c r="N78" s="103"/>
    </row>
    <row r="79" spans="2:14" x14ac:dyDescent="0.2">
      <c r="B79" s="57"/>
      <c r="C79" s="60" t="s">
        <v>117</v>
      </c>
      <c r="D79" s="69">
        <v>7</v>
      </c>
      <c r="E79" s="60" t="s">
        <v>118</v>
      </c>
      <c r="F79" s="60"/>
      <c r="G79" s="60"/>
      <c r="H79" s="60"/>
      <c r="I79" s="60"/>
      <c r="N79" s="103"/>
    </row>
    <row r="80" spans="2:14" x14ac:dyDescent="0.2">
      <c r="B80" s="89"/>
      <c r="C80" s="67" t="s">
        <v>119</v>
      </c>
      <c r="D80" s="70">
        <f>D76*100/4.44/D77/D78/D79</f>
        <v>79.772807045534321</v>
      </c>
      <c r="E80" s="67" t="s">
        <v>120</v>
      </c>
      <c r="F80" s="67"/>
      <c r="G80" s="67"/>
      <c r="H80" s="67"/>
      <c r="I80" s="67"/>
      <c r="N80" s="103"/>
    </row>
    <row r="81" spans="2:14" x14ac:dyDescent="0.2">
      <c r="B81" s="57"/>
      <c r="C81" s="60" t="s">
        <v>138</v>
      </c>
      <c r="D81" s="73"/>
      <c r="E81" s="60"/>
      <c r="F81" s="60"/>
      <c r="G81" s="60"/>
      <c r="H81" s="60"/>
      <c r="I81" s="60"/>
      <c r="N81" s="103"/>
    </row>
    <row r="82" spans="2:14" x14ac:dyDescent="0.2">
      <c r="N82" s="103"/>
    </row>
    <row r="83" spans="2:14" x14ac:dyDescent="0.2">
      <c r="B83" s="57"/>
      <c r="C83" s="60" t="s">
        <v>105</v>
      </c>
      <c r="D83" s="69">
        <v>168</v>
      </c>
      <c r="E83" s="60" t="s">
        <v>106</v>
      </c>
      <c r="F83" s="87" t="s">
        <v>107</v>
      </c>
      <c r="G83" s="59"/>
      <c r="H83" s="60"/>
      <c r="I83" s="60"/>
      <c r="N83" s="103"/>
    </row>
    <row r="84" spans="2:14" x14ac:dyDescent="0.2">
      <c r="B84" s="88" t="s">
        <v>166</v>
      </c>
      <c r="C84" s="64" t="s">
        <v>109</v>
      </c>
      <c r="D84" s="64">
        <v>0.38500000000000001</v>
      </c>
      <c r="E84" s="64"/>
      <c r="F84" s="65" t="s">
        <v>110</v>
      </c>
      <c r="G84" s="64">
        <v>70</v>
      </c>
      <c r="H84" s="64" t="s">
        <v>111</v>
      </c>
      <c r="I84" s="64"/>
      <c r="N84" s="103"/>
    </row>
    <row r="85" spans="2:14" x14ac:dyDescent="0.2">
      <c r="B85" s="57"/>
      <c r="C85" s="60" t="s">
        <v>113</v>
      </c>
      <c r="D85" s="69">
        <v>13</v>
      </c>
      <c r="E85" s="59" t="s">
        <v>114</v>
      </c>
      <c r="F85" s="66" t="s">
        <v>115</v>
      </c>
      <c r="G85" s="68">
        <v>1.1200000000000001</v>
      </c>
      <c r="H85" s="71">
        <f>SQRT(G85/G84)*100</f>
        <v>12.649110640673516</v>
      </c>
      <c r="I85" s="67" t="s">
        <v>116</v>
      </c>
      <c r="N85" s="103"/>
    </row>
    <row r="86" spans="2:14" x14ac:dyDescent="0.2">
      <c r="B86" s="57"/>
      <c r="C86" s="60" t="s">
        <v>117</v>
      </c>
      <c r="D86" s="69">
        <v>21</v>
      </c>
      <c r="E86" s="60" t="s">
        <v>118</v>
      </c>
      <c r="F86" s="60"/>
      <c r="G86" s="60"/>
      <c r="H86" s="60"/>
      <c r="I86" s="60"/>
      <c r="N86" s="103"/>
    </row>
    <row r="87" spans="2:14" x14ac:dyDescent="0.2">
      <c r="B87" s="57"/>
      <c r="C87" s="60" t="s">
        <v>119</v>
      </c>
      <c r="D87" s="72">
        <f>D83*100/4.44/D84/D85/D86</f>
        <v>36.000036000035998</v>
      </c>
      <c r="E87" s="60" t="s">
        <v>120</v>
      </c>
      <c r="F87" s="60"/>
      <c r="G87" s="60"/>
      <c r="H87" s="60"/>
      <c r="I87" s="60"/>
      <c r="N87" s="103"/>
    </row>
    <row r="88" spans="2:14" x14ac:dyDescent="0.2">
      <c r="N88" s="103"/>
    </row>
    <row r="89" spans="2:14" x14ac:dyDescent="0.2">
      <c r="B89" s="57"/>
      <c r="C89" s="60" t="s">
        <v>105</v>
      </c>
      <c r="D89" s="69">
        <v>198</v>
      </c>
      <c r="E89" s="60" t="s">
        <v>106</v>
      </c>
      <c r="F89" s="87" t="s">
        <v>107</v>
      </c>
      <c r="G89" s="59"/>
      <c r="H89" s="60"/>
      <c r="I89" s="60"/>
      <c r="N89" s="103"/>
    </row>
    <row r="90" spans="2:14" x14ac:dyDescent="0.2">
      <c r="B90" s="88" t="s">
        <v>133</v>
      </c>
      <c r="C90" s="64" t="s">
        <v>109</v>
      </c>
      <c r="D90" s="64">
        <v>0.69</v>
      </c>
      <c r="E90" s="64"/>
      <c r="F90" s="65" t="s">
        <v>110</v>
      </c>
      <c r="G90" s="64">
        <v>116</v>
      </c>
      <c r="H90" s="64" t="s">
        <v>111</v>
      </c>
      <c r="I90" s="64"/>
      <c r="N90" s="103"/>
    </row>
    <row r="91" spans="2:14" x14ac:dyDescent="0.2">
      <c r="B91" s="57"/>
      <c r="C91" s="60" t="s">
        <v>113</v>
      </c>
      <c r="D91" s="69">
        <v>11</v>
      </c>
      <c r="E91" s="59" t="s">
        <v>114</v>
      </c>
      <c r="F91" s="66" t="s">
        <v>115</v>
      </c>
      <c r="G91" s="68">
        <v>1.74</v>
      </c>
      <c r="H91" s="71">
        <f>SQRT(G91/G90)*100</f>
        <v>12.24744871391589</v>
      </c>
      <c r="I91" s="67" t="s">
        <v>116</v>
      </c>
      <c r="N91" s="103"/>
    </row>
    <row r="92" spans="2:14" x14ac:dyDescent="0.2">
      <c r="B92" s="57"/>
      <c r="C92" s="60" t="s">
        <v>117</v>
      </c>
      <c r="D92" s="69">
        <v>14</v>
      </c>
      <c r="E92" s="60" t="s">
        <v>118</v>
      </c>
      <c r="F92" s="60"/>
      <c r="G92" s="60"/>
      <c r="H92" s="60"/>
      <c r="I92" s="60"/>
      <c r="N92" s="103"/>
    </row>
    <row r="93" spans="2:14" x14ac:dyDescent="0.2">
      <c r="B93" s="57"/>
      <c r="C93" s="60" t="s">
        <v>119</v>
      </c>
      <c r="D93" s="72">
        <f>D89*100/4.44/D90/D91/D92</f>
        <v>41.967433271781097</v>
      </c>
      <c r="E93" s="60" t="s">
        <v>120</v>
      </c>
      <c r="F93" s="60"/>
      <c r="G93" s="60"/>
      <c r="H93" s="60"/>
      <c r="I93" s="60"/>
      <c r="N93" s="103"/>
    </row>
    <row r="94" spans="2:14" x14ac:dyDescent="0.2">
      <c r="N94" s="103"/>
    </row>
    <row r="95" spans="2:14" x14ac:dyDescent="0.2">
      <c r="N95" s="103"/>
    </row>
    <row r="96" spans="2:14" x14ac:dyDescent="0.2">
      <c r="B96" s="110"/>
      <c r="C96" s="60" t="s">
        <v>105</v>
      </c>
      <c r="D96" s="69">
        <v>50</v>
      </c>
      <c r="E96" s="60" t="s">
        <v>106</v>
      </c>
      <c r="F96" s="87"/>
      <c r="G96" s="86" t="s">
        <v>165</v>
      </c>
      <c r="H96" s="60"/>
      <c r="I96" s="60">
        <f>0.65*2.85</f>
        <v>1.8525</v>
      </c>
      <c r="J96" s="62" t="s">
        <v>173</v>
      </c>
      <c r="N96" s="103"/>
    </row>
    <row r="97" spans="1:14" x14ac:dyDescent="0.2">
      <c r="B97" s="111" t="s">
        <v>164</v>
      </c>
      <c r="C97" s="64" t="s">
        <v>109</v>
      </c>
      <c r="D97" s="64">
        <v>1.8525</v>
      </c>
      <c r="E97" s="64"/>
      <c r="F97" s="65"/>
      <c r="G97" s="64"/>
      <c r="H97" s="64"/>
      <c r="I97" s="64"/>
      <c r="J97" s="62" t="s">
        <v>172</v>
      </c>
      <c r="N97" s="103"/>
    </row>
    <row r="98" spans="1:14" x14ac:dyDescent="0.2">
      <c r="B98" s="110"/>
      <c r="C98" s="60" t="s">
        <v>113</v>
      </c>
      <c r="D98" s="69">
        <v>1</v>
      </c>
      <c r="E98" s="59" t="s">
        <v>114</v>
      </c>
      <c r="F98" s="66"/>
      <c r="G98" s="112"/>
      <c r="H98" s="113"/>
      <c r="I98" s="67"/>
      <c r="N98" s="103"/>
    </row>
    <row r="99" spans="1:14" x14ac:dyDescent="0.2">
      <c r="B99" s="110"/>
      <c r="C99" s="60" t="s">
        <v>117</v>
      </c>
      <c r="D99" s="69">
        <v>28</v>
      </c>
      <c r="E99" s="60" t="s">
        <v>118</v>
      </c>
      <c r="F99" s="60"/>
      <c r="G99" s="60"/>
      <c r="H99" s="60"/>
      <c r="I99" s="60"/>
      <c r="J99" s="62" t="s">
        <v>175</v>
      </c>
      <c r="N99" s="103"/>
    </row>
    <row r="100" spans="1:14" x14ac:dyDescent="0.2">
      <c r="B100" s="110"/>
      <c r="C100" s="60" t="s">
        <v>119</v>
      </c>
      <c r="D100" s="72">
        <f>D96*100/4.44/D97/D98/D99</f>
        <v>21.710548026337499</v>
      </c>
      <c r="E100" s="60" t="s">
        <v>120</v>
      </c>
      <c r="F100" s="60"/>
      <c r="G100" s="60"/>
      <c r="H100" s="60"/>
      <c r="I100" s="60"/>
      <c r="J100" s="62" t="s">
        <v>174</v>
      </c>
      <c r="N100" s="103"/>
    </row>
    <row r="101" spans="1:14" x14ac:dyDescent="0.2">
      <c r="N101" s="103"/>
    </row>
    <row r="102" spans="1:14" x14ac:dyDescent="0.2">
      <c r="A102" s="103"/>
      <c r="B102" s="102">
        <v>42633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C35" sqref="C35"/>
    </sheetView>
  </sheetViews>
  <sheetFormatPr defaultRowHeight="12.75" x14ac:dyDescent="0.2"/>
  <cols>
    <col min="1" max="1" width="9.140625" style="1"/>
    <col min="2" max="4" width="11.7109375" style="1" customWidth="1"/>
    <col min="5" max="5" width="9.140625" style="1"/>
    <col min="6" max="8" width="11.7109375" style="1" customWidth="1"/>
    <col min="9" max="9" width="9.140625" style="1"/>
    <col min="10" max="10" width="2.5703125" style="1" customWidth="1"/>
    <col min="11" max="16384" width="9.140625" style="1"/>
  </cols>
  <sheetData>
    <row r="1" spans="1:10" ht="15.75" x14ac:dyDescent="0.25">
      <c r="A1" s="28"/>
      <c r="B1" s="15" t="s">
        <v>12</v>
      </c>
      <c r="C1" s="37"/>
      <c r="D1" s="38"/>
      <c r="E1" s="28"/>
      <c r="F1" s="28"/>
      <c r="G1" s="28"/>
      <c r="H1" s="28" t="s">
        <v>9</v>
      </c>
      <c r="I1" s="28"/>
      <c r="J1" s="28"/>
    </row>
    <row r="2" spans="1:10" x14ac:dyDescent="0.2">
      <c r="J2" s="103"/>
    </row>
    <row r="3" spans="1:10" ht="15.75" x14ac:dyDescent="0.25">
      <c r="B3" s="107" t="s">
        <v>76</v>
      </c>
      <c r="C3" s="108"/>
      <c r="D3" s="108"/>
      <c r="J3" s="103"/>
    </row>
    <row r="4" spans="1:10" x14ac:dyDescent="0.2">
      <c r="J4" s="103"/>
    </row>
    <row r="5" spans="1:10" x14ac:dyDescent="0.2">
      <c r="B5" s="11" t="s">
        <v>21</v>
      </c>
      <c r="C5" s="19"/>
      <c r="D5" s="19"/>
      <c r="F5" s="11" t="s">
        <v>26</v>
      </c>
      <c r="G5" s="19"/>
      <c r="H5" s="19"/>
      <c r="J5" s="103"/>
    </row>
    <row r="6" spans="1:10" x14ac:dyDescent="0.2">
      <c r="B6" s="76" t="s">
        <v>22</v>
      </c>
      <c r="C6" s="16" t="s">
        <v>134</v>
      </c>
      <c r="D6" s="16" t="s">
        <v>23</v>
      </c>
      <c r="F6" s="76" t="s">
        <v>22</v>
      </c>
      <c r="G6" s="16" t="s">
        <v>27</v>
      </c>
      <c r="H6" s="16" t="s">
        <v>28</v>
      </c>
      <c r="J6" s="103"/>
    </row>
    <row r="7" spans="1:10" x14ac:dyDescent="0.2">
      <c r="B7" s="77" t="s">
        <v>4</v>
      </c>
      <c r="C7" s="7" t="s">
        <v>8</v>
      </c>
      <c r="D7" s="7" t="s">
        <v>8</v>
      </c>
      <c r="F7" s="77" t="s">
        <v>4</v>
      </c>
      <c r="G7" s="7" t="s">
        <v>8</v>
      </c>
      <c r="H7" s="7" t="s">
        <v>8</v>
      </c>
      <c r="J7" s="103"/>
    </row>
    <row r="8" spans="1:10" x14ac:dyDescent="0.2">
      <c r="B8" s="78">
        <v>1</v>
      </c>
      <c r="C8" s="74">
        <v>869.548</v>
      </c>
      <c r="D8" s="74">
        <v>5.7690000000000001</v>
      </c>
      <c r="F8" s="78">
        <v>1</v>
      </c>
      <c r="G8" s="74">
        <v>2.875</v>
      </c>
      <c r="H8" s="74">
        <v>433.33699999999999</v>
      </c>
      <c r="J8" s="103"/>
    </row>
    <row r="9" spans="1:10" x14ac:dyDescent="0.2">
      <c r="B9" s="78">
        <v>2</v>
      </c>
      <c r="C9" s="74">
        <v>436.21199999999999</v>
      </c>
      <c r="D9" s="74">
        <v>11.615</v>
      </c>
      <c r="F9" s="78">
        <v>2</v>
      </c>
      <c r="G9" s="74">
        <v>5.7309999999999999</v>
      </c>
      <c r="H9" s="74">
        <v>215.24</v>
      </c>
      <c r="J9" s="103"/>
    </row>
    <row r="10" spans="1:10" x14ac:dyDescent="0.2">
      <c r="B10" s="78">
        <v>3</v>
      </c>
      <c r="C10" s="74">
        <v>292.40199999999999</v>
      </c>
      <c r="D10" s="74">
        <v>17.614999999999998</v>
      </c>
      <c r="F10" s="78">
        <v>3</v>
      </c>
      <c r="G10" s="74">
        <v>8.5500000000000007</v>
      </c>
      <c r="H10" s="74">
        <v>141.92599999999999</v>
      </c>
      <c r="J10" s="103"/>
    </row>
    <row r="11" spans="1:10" x14ac:dyDescent="0.2">
      <c r="B11" s="79">
        <v>6</v>
      </c>
      <c r="C11" s="75">
        <v>150.476</v>
      </c>
      <c r="D11" s="75">
        <v>37.351999999999997</v>
      </c>
      <c r="F11" s="79">
        <v>6</v>
      </c>
      <c r="G11" s="75">
        <v>16.614000000000001</v>
      </c>
      <c r="H11" s="75">
        <v>66.930999999999997</v>
      </c>
      <c r="J11" s="103"/>
    </row>
    <row r="12" spans="1:10" x14ac:dyDescent="0.2">
      <c r="B12" s="79">
        <v>10</v>
      </c>
      <c r="C12" s="75">
        <v>96.248000000000005</v>
      </c>
      <c r="D12" s="75">
        <v>71.150999999999996</v>
      </c>
      <c r="F12" s="79">
        <v>10</v>
      </c>
      <c r="G12" s="75">
        <v>25.975000000000001</v>
      </c>
      <c r="H12" s="75">
        <v>35.136000000000003</v>
      </c>
      <c r="J12" s="103"/>
    </row>
    <row r="13" spans="1:10" x14ac:dyDescent="0.2">
      <c r="B13" s="79">
        <v>12</v>
      </c>
      <c r="C13" s="75">
        <v>83.545000000000002</v>
      </c>
      <c r="D13" s="75">
        <v>93.247</v>
      </c>
      <c r="F13" s="79">
        <v>12</v>
      </c>
      <c r="G13" s="75">
        <v>29.923999999999999</v>
      </c>
      <c r="H13" s="75">
        <v>26.81</v>
      </c>
      <c r="J13" s="103"/>
    </row>
    <row r="14" spans="1:10" x14ac:dyDescent="0.2">
      <c r="B14" s="79">
        <v>20</v>
      </c>
      <c r="C14" s="75">
        <v>61.110999999999997</v>
      </c>
      <c r="D14" s="75">
        <v>247.5</v>
      </c>
      <c r="F14" s="79">
        <v>20</v>
      </c>
      <c r="G14" s="75">
        <v>40.908999999999999</v>
      </c>
      <c r="H14" s="75">
        <v>10.101000000000001</v>
      </c>
      <c r="J14" s="103"/>
    </row>
    <row r="15" spans="1:10" x14ac:dyDescent="0.2">
      <c r="B15" s="79">
        <v>25</v>
      </c>
      <c r="C15" s="75">
        <v>55.957999999999998</v>
      </c>
      <c r="D15" s="75">
        <v>443.16399999999999</v>
      </c>
      <c r="F15" s="79">
        <v>25</v>
      </c>
      <c r="G15" s="75">
        <v>44.676000000000002</v>
      </c>
      <c r="H15" s="75">
        <v>5.641</v>
      </c>
      <c r="J15" s="103"/>
    </row>
    <row r="16" spans="1:10" x14ac:dyDescent="0.2">
      <c r="B16" s="79">
        <v>30</v>
      </c>
      <c r="C16" s="75">
        <v>53.265999999999998</v>
      </c>
      <c r="D16" s="75">
        <v>789.779</v>
      </c>
      <c r="F16" s="79">
        <v>30</v>
      </c>
      <c r="G16" s="75">
        <v>46.935000000000002</v>
      </c>
      <c r="H16" s="75">
        <v>3.165</v>
      </c>
      <c r="J16" s="103"/>
    </row>
    <row r="17" spans="1:10" x14ac:dyDescent="0.2">
      <c r="B17" s="79">
        <v>33</v>
      </c>
      <c r="C17" s="75">
        <v>52.29</v>
      </c>
      <c r="D17" s="75">
        <v>1116.1489999999999</v>
      </c>
      <c r="J17" s="103"/>
    </row>
    <row r="18" spans="1:10" x14ac:dyDescent="0.2">
      <c r="B18" s="79">
        <v>40</v>
      </c>
      <c r="C18" s="75">
        <v>51.01</v>
      </c>
      <c r="D18" s="75">
        <v>2499.75</v>
      </c>
      <c r="G18" s="4" t="s">
        <v>18</v>
      </c>
      <c r="J18" s="103"/>
    </row>
    <row r="19" spans="1:10" x14ac:dyDescent="0.2">
      <c r="J19" s="103"/>
    </row>
    <row r="20" spans="1:10" x14ac:dyDescent="0.2">
      <c r="J20" s="103"/>
    </row>
    <row r="21" spans="1:10" x14ac:dyDescent="0.2">
      <c r="A21" s="103"/>
      <c r="B21" s="102">
        <v>42633</v>
      </c>
      <c r="C21" s="103"/>
      <c r="D21" s="103"/>
      <c r="E21" s="103"/>
      <c r="F21" s="103"/>
      <c r="G21" s="103"/>
      <c r="H21" s="103"/>
      <c r="I21" s="103"/>
      <c r="J21" s="103"/>
    </row>
    <row r="42" spans="2:2" x14ac:dyDescent="0.2">
      <c r="B42" s="1" t="s">
        <v>29</v>
      </c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Components</vt:lpstr>
      <vt:lpstr>Ohms law</vt:lpstr>
      <vt:lpstr>Ratios and dB</vt:lpstr>
      <vt:lpstr>Antennas</vt:lpstr>
      <vt:lpstr>Amidon</vt:lpstr>
      <vt:lpstr>Amidon 2</vt:lpstr>
      <vt:lpstr>Attenuators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 Ketonen</dc:creator>
  <cp:lastModifiedBy>Pekka-O</cp:lastModifiedBy>
  <cp:lastPrinted>2005-11-06T10:40:41Z</cp:lastPrinted>
  <dcterms:created xsi:type="dcterms:W3CDTF">2005-10-08T08:03:39Z</dcterms:created>
  <dcterms:modified xsi:type="dcterms:W3CDTF">2016-09-20T07:29:27Z</dcterms:modified>
</cp:coreProperties>
</file>